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ro__000\Desktop\magistrale\II anno\sismica\progetto\excel\VECCHIO\"/>
    </mc:Choice>
  </mc:AlternateContent>
  <bookViews>
    <workbookView xWindow="0" yWindow="0" windowWidth="20490" windowHeight="7755" tabRatio="592" firstSheet="7" activeTab="10"/>
  </bookViews>
  <sheets>
    <sheet name="GEOMETRIA" sheetId="6" r:id="rId1"/>
    <sheet name="CARICHI UNITARI" sheetId="3" r:id="rId2"/>
    <sheet name="masse" sheetId="1" r:id="rId3"/>
    <sheet name="sollecitazioni" sheetId="2" r:id="rId4"/>
    <sheet name="Dimensionamento" sheetId="4" r:id="rId5"/>
    <sheet name="approggioco globale" sheetId="12" r:id="rId6"/>
    <sheet name="approccio per tipologia di P" sheetId="8" r:id="rId7"/>
    <sheet name=" RIGIDEZZE_X" sheetId="9" r:id="rId8"/>
    <sheet name=" RIGIDEZZE_Y" sheetId="10" r:id="rId9"/>
    <sheet name="BILANCIAMENTO" sheetId="11" r:id="rId10"/>
    <sheet name="CONFRONTI DATI TEL" sheetId="13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3" l="1"/>
  <c r="H36" i="13"/>
  <c r="H35" i="13"/>
  <c r="H34" i="13"/>
  <c r="H33" i="13"/>
  <c r="C37" i="13"/>
  <c r="C36" i="13"/>
  <c r="C35" i="13"/>
  <c r="C34" i="13"/>
  <c r="C33" i="13"/>
  <c r="I29" i="13"/>
  <c r="I28" i="13"/>
  <c r="I27" i="13"/>
  <c r="I26" i="13"/>
  <c r="I25" i="13"/>
  <c r="I24" i="13"/>
  <c r="G29" i="13"/>
  <c r="G28" i="13"/>
  <c r="G27" i="13"/>
  <c r="G26" i="13"/>
  <c r="G25" i="13"/>
  <c r="G24" i="13"/>
  <c r="E29" i="13"/>
  <c r="E28" i="13"/>
  <c r="E27" i="13"/>
  <c r="E26" i="13"/>
  <c r="E25" i="13"/>
  <c r="E24" i="13"/>
  <c r="C29" i="13"/>
  <c r="C28" i="13"/>
  <c r="C27" i="13"/>
  <c r="C26" i="13"/>
  <c r="C25" i="13"/>
  <c r="C24" i="13"/>
  <c r="I14" i="13"/>
  <c r="I13" i="13"/>
  <c r="I12" i="13"/>
  <c r="I11" i="13"/>
  <c r="I10" i="13"/>
  <c r="I9" i="13"/>
  <c r="F33" i="9"/>
  <c r="H33" i="9"/>
  <c r="J33" i="9"/>
  <c r="L33" i="9"/>
  <c r="N33" i="9"/>
  <c r="D33" i="9"/>
  <c r="G14" i="13"/>
  <c r="G13" i="13"/>
  <c r="G12" i="13"/>
  <c r="G11" i="13"/>
  <c r="G10" i="13"/>
  <c r="G9" i="13"/>
  <c r="F65" i="9"/>
  <c r="H65" i="9"/>
  <c r="J65" i="9"/>
  <c r="L65" i="9"/>
  <c r="N65" i="9"/>
  <c r="D65" i="9"/>
  <c r="E14" i="13"/>
  <c r="E13" i="13"/>
  <c r="E12" i="13"/>
  <c r="E11" i="13"/>
  <c r="E10" i="13"/>
  <c r="E9" i="13"/>
  <c r="F17" i="9"/>
  <c r="H17" i="9"/>
  <c r="J17" i="9"/>
  <c r="L17" i="9"/>
  <c r="N17" i="9"/>
  <c r="D17" i="9"/>
  <c r="C14" i="13"/>
  <c r="C13" i="13"/>
  <c r="C12" i="13"/>
  <c r="C11" i="13"/>
  <c r="C10" i="13"/>
  <c r="C9" i="13"/>
  <c r="F49" i="9"/>
  <c r="H49" i="9"/>
  <c r="J49" i="9"/>
  <c r="L49" i="9"/>
  <c r="N49" i="9"/>
  <c r="D49" i="9"/>
  <c r="I8" i="13"/>
  <c r="I7" i="13"/>
  <c r="I6" i="13"/>
  <c r="I5" i="13"/>
  <c r="G8" i="13"/>
  <c r="G7" i="13"/>
  <c r="G6" i="13"/>
  <c r="G5" i="13"/>
  <c r="E8" i="13"/>
  <c r="E7" i="13"/>
  <c r="E6" i="13"/>
  <c r="E5" i="13"/>
  <c r="C8" i="13"/>
  <c r="C7" i="13"/>
  <c r="C6" i="13"/>
  <c r="C5" i="13"/>
  <c r="P5" i="12" l="1"/>
  <c r="P4" i="12"/>
  <c r="D38" i="12"/>
  <c r="L38" i="12" s="1"/>
  <c r="O38" i="12" s="1"/>
  <c r="C35" i="12"/>
  <c r="K35" i="12" s="1"/>
  <c r="N35" i="12" s="1"/>
  <c r="C36" i="12"/>
  <c r="K36" i="12" s="1"/>
  <c r="N36" i="12" s="1"/>
  <c r="C37" i="12"/>
  <c r="K37" i="12" s="1"/>
  <c r="N37" i="12" s="1"/>
  <c r="C38" i="12"/>
  <c r="D37" i="12" s="1"/>
  <c r="L37" i="12" s="1"/>
  <c r="O37" i="12" s="1"/>
  <c r="C34" i="12"/>
  <c r="K34" i="12" s="1"/>
  <c r="N34" i="12" s="1"/>
  <c r="C4" i="12"/>
  <c r="K4" i="12" s="1"/>
  <c r="N4" i="12" s="1"/>
  <c r="B35" i="12"/>
  <c r="I35" i="12" s="1"/>
  <c r="B36" i="12"/>
  <c r="I36" i="12" s="1"/>
  <c r="B37" i="12"/>
  <c r="I37" i="12" s="1"/>
  <c r="B38" i="12"/>
  <c r="I38" i="12" s="1"/>
  <c r="B34" i="12"/>
  <c r="I34" i="12" s="1"/>
  <c r="K38" i="12"/>
  <c r="N38" i="12" s="1"/>
  <c r="D35" i="12"/>
  <c r="L35" i="12" s="1"/>
  <c r="O35" i="12" s="1"/>
  <c r="I7" i="12"/>
  <c r="I8" i="12"/>
  <c r="D8" i="12"/>
  <c r="L8" i="12" s="1"/>
  <c r="O8" i="12" s="1"/>
  <c r="C8" i="12"/>
  <c r="D7" i="12" s="1"/>
  <c r="L7" i="12" s="1"/>
  <c r="O7" i="12" s="1"/>
  <c r="C5" i="12"/>
  <c r="K5" i="12" s="1"/>
  <c r="N5" i="12" s="1"/>
  <c r="C6" i="12"/>
  <c r="D5" i="12" s="1"/>
  <c r="L5" i="12" s="1"/>
  <c r="O5" i="12" s="1"/>
  <c r="C7" i="12"/>
  <c r="D6" i="12" s="1"/>
  <c r="L6" i="12" s="1"/>
  <c r="O6" i="12" s="1"/>
  <c r="B5" i="12"/>
  <c r="I5" i="12" s="1"/>
  <c r="B6" i="12"/>
  <c r="I6" i="12" s="1"/>
  <c r="B7" i="12"/>
  <c r="B8" i="12"/>
  <c r="B4" i="12"/>
  <c r="I4" i="12" s="1"/>
  <c r="K8" i="12" l="1"/>
  <c r="N8" i="12" s="1"/>
  <c r="D36" i="12"/>
  <c r="L36" i="12" s="1"/>
  <c r="O36" i="12" s="1"/>
  <c r="K7" i="12"/>
  <c r="N7" i="12" s="1"/>
  <c r="K6" i="12"/>
  <c r="N6" i="12" s="1"/>
  <c r="P6" i="12" s="1"/>
  <c r="D34" i="12"/>
  <c r="L34" i="12" s="1"/>
  <c r="O34" i="12" s="1"/>
  <c r="D4" i="12"/>
  <c r="L4" i="12" s="1"/>
  <c r="O4" i="12" s="1"/>
  <c r="M6" i="12"/>
  <c r="M5" i="12"/>
  <c r="M8" i="12"/>
  <c r="P8" i="12" s="1"/>
  <c r="M7" i="12"/>
  <c r="M4" i="12"/>
  <c r="M37" i="12"/>
  <c r="P37" i="12" s="1"/>
  <c r="M38" i="12"/>
  <c r="P38" i="12" s="1"/>
  <c r="M35" i="12"/>
  <c r="P35" i="12" s="1"/>
  <c r="M36" i="12"/>
  <c r="P36" i="12" s="1"/>
  <c r="M34" i="12"/>
  <c r="P34" i="12" s="1"/>
  <c r="E24" i="4"/>
  <c r="E22" i="4"/>
  <c r="E14" i="4"/>
  <c r="D23" i="4"/>
  <c r="D22" i="4"/>
  <c r="D21" i="4"/>
  <c r="P7" i="12" l="1"/>
  <c r="B52" i="2"/>
  <c r="K23" i="8" l="1"/>
  <c r="K22" i="8"/>
  <c r="K21" i="8"/>
  <c r="D23" i="8"/>
  <c r="D22" i="8"/>
  <c r="D21" i="8"/>
  <c r="K20" i="8"/>
  <c r="D20" i="8"/>
  <c r="D32" i="10" l="1"/>
  <c r="H32" i="9"/>
  <c r="F26" i="9" l="1"/>
  <c r="H26" i="9"/>
  <c r="L32" i="9"/>
  <c r="J26" i="9"/>
  <c r="J32" i="9"/>
  <c r="L23" i="9"/>
  <c r="K24" i="8"/>
  <c r="F35" i="10" s="1"/>
  <c r="H35" i="10" s="1"/>
  <c r="D24" i="8"/>
  <c r="K31" i="8" l="1"/>
  <c r="J32" i="10" s="1"/>
  <c r="K34" i="8" l="1"/>
  <c r="L32" i="10" s="1"/>
  <c r="K33" i="8" l="1"/>
  <c r="K32" i="8" l="1"/>
  <c r="F32" i="10" s="1"/>
  <c r="J29" i="10" l="1"/>
  <c r="L29" i="10"/>
  <c r="H32" i="10"/>
  <c r="J26" i="10"/>
  <c r="H29" i="10" l="1"/>
  <c r="F29" i="10"/>
  <c r="F38" i="10" s="1"/>
  <c r="L35" i="10"/>
  <c r="J35" i="10"/>
  <c r="L26" i="10"/>
  <c r="D35" i="10" l="1"/>
  <c r="N32" i="10" l="1"/>
  <c r="N26" i="10"/>
  <c r="N35" i="10"/>
  <c r="N29" i="10"/>
  <c r="D29" i="10"/>
  <c r="D38" i="10" s="1"/>
  <c r="D33" i="8"/>
  <c r="L26" i="9" s="1"/>
  <c r="D34" i="8" l="1"/>
  <c r="F29" i="9" s="1"/>
  <c r="J29" i="9" l="1"/>
  <c r="H29" i="9"/>
  <c r="D32" i="8"/>
  <c r="L29" i="9" s="1"/>
  <c r="N26" i="9" l="1"/>
  <c r="N23" i="9"/>
  <c r="F32" i="9" l="1"/>
  <c r="J23" i="9"/>
  <c r="D26" i="9"/>
  <c r="D29" i="9"/>
  <c r="N29" i="9"/>
  <c r="N32" i="9"/>
  <c r="D32" i="9" s="1"/>
  <c r="M35" i="8"/>
  <c r="F35" i="8"/>
  <c r="M34" i="8"/>
  <c r="F34" i="8"/>
  <c r="M33" i="8"/>
  <c r="F33" i="8"/>
  <c r="M32" i="8"/>
  <c r="F32" i="8"/>
  <c r="M31" i="8"/>
  <c r="F31" i="8"/>
  <c r="D41" i="8"/>
  <c r="F41" i="8" s="1"/>
  <c r="K41" i="8"/>
  <c r="M41" i="8" s="1"/>
  <c r="D42" i="8"/>
  <c r="F42" i="8" s="1"/>
  <c r="K42" i="8"/>
  <c r="M42" i="8" s="1"/>
  <c r="D43" i="8"/>
  <c r="F43" i="8" s="1"/>
  <c r="K43" i="8"/>
  <c r="M43" i="8" s="1"/>
  <c r="D44" i="8"/>
  <c r="F44" i="8" s="1"/>
  <c r="K44" i="8"/>
  <c r="M44" i="8" s="1"/>
  <c r="D45" i="8"/>
  <c r="F45" i="8" s="1"/>
  <c r="K45" i="8"/>
  <c r="M45" i="8" s="1"/>
  <c r="M37" i="8" l="1"/>
  <c r="F37" i="8"/>
  <c r="E68" i="4"/>
  <c r="E69" i="4" s="1"/>
  <c r="F68" i="4"/>
  <c r="B46" i="2"/>
  <c r="E16" i="4"/>
  <c r="C47" i="2"/>
  <c r="D47" i="2"/>
  <c r="E47" i="2"/>
  <c r="B47" i="2"/>
  <c r="E38" i="10" l="1"/>
  <c r="K56" i="8"/>
  <c r="F78" i="10" s="1"/>
  <c r="H78" i="10" s="1"/>
  <c r="D56" i="8"/>
  <c r="K54" i="8" l="1"/>
  <c r="J72" i="10" s="1"/>
  <c r="D54" i="8"/>
  <c r="L57" i="9" s="1"/>
  <c r="K55" i="8" l="1"/>
  <c r="D55" i="8"/>
  <c r="N63" i="9" l="1"/>
  <c r="J60" i="9"/>
  <c r="D60" i="9"/>
  <c r="N57" i="9"/>
  <c r="D63" i="9"/>
  <c r="F60" i="9"/>
  <c r="D57" i="9"/>
  <c r="H60" i="9"/>
  <c r="N54" i="9"/>
  <c r="N60" i="9"/>
  <c r="F72" i="10"/>
  <c r="L78" i="10"/>
  <c r="L69" i="10"/>
  <c r="J69" i="10"/>
  <c r="H72" i="10"/>
  <c r="J78" i="10"/>
  <c r="L75" i="10"/>
  <c r="K52" i="8"/>
  <c r="D52" i="8"/>
  <c r="F57" i="9" l="1"/>
  <c r="L63" i="9"/>
  <c r="J57" i="9"/>
  <c r="H57" i="9"/>
  <c r="J63" i="9"/>
  <c r="L54" i="9"/>
  <c r="D75" i="10"/>
  <c r="J75" i="10"/>
  <c r="J81" i="10" s="1"/>
  <c r="K53" i="8"/>
  <c r="D53" i="8"/>
  <c r="P57" i="9" l="1"/>
  <c r="S57" i="9" s="1"/>
  <c r="J83" i="10"/>
  <c r="J82" i="10"/>
  <c r="L72" i="10"/>
  <c r="L81" i="10" s="1"/>
  <c r="D72" i="10"/>
  <c r="N69" i="10"/>
  <c r="N78" i="10"/>
  <c r="F75" i="10"/>
  <c r="F81" i="10" s="1"/>
  <c r="N75" i="10"/>
  <c r="D78" i="10"/>
  <c r="N72" i="10"/>
  <c r="H75" i="10"/>
  <c r="H81" i="10" s="1"/>
  <c r="J54" i="9"/>
  <c r="P54" i="9" s="1"/>
  <c r="F63" i="9"/>
  <c r="H63" i="9"/>
  <c r="L60" i="9"/>
  <c r="P60" i="9" s="1"/>
  <c r="R57" i="9" l="1"/>
  <c r="P63" i="9"/>
  <c r="P65" i="9" s="1"/>
  <c r="B5" i="11" s="1"/>
  <c r="N81" i="10"/>
  <c r="H56" i="10"/>
  <c r="F56" i="10"/>
  <c r="S54" i="9"/>
  <c r="R54" i="9"/>
  <c r="D81" i="10"/>
  <c r="R60" i="9"/>
  <c r="S60" i="9"/>
  <c r="H82" i="10"/>
  <c r="H83" i="10"/>
  <c r="F83" i="10"/>
  <c r="F82" i="10"/>
  <c r="L82" i="10"/>
  <c r="L83" i="10"/>
  <c r="H50" i="10" l="1"/>
  <c r="F50" i="10"/>
  <c r="L56" i="10"/>
  <c r="L47" i="10"/>
  <c r="L53" i="10"/>
  <c r="J47" i="10"/>
  <c r="J56" i="10"/>
  <c r="D82" i="10"/>
  <c r="D83" i="10"/>
  <c r="P81" i="10"/>
  <c r="C5" i="11" s="1"/>
  <c r="N41" i="9"/>
  <c r="N38" i="9"/>
  <c r="D44" i="9"/>
  <c r="N47" i="9"/>
  <c r="D47" i="9"/>
  <c r="N44" i="9"/>
  <c r="F44" i="9"/>
  <c r="H44" i="9"/>
  <c r="J44" i="9"/>
  <c r="D41" i="9"/>
  <c r="N82" i="10"/>
  <c r="N83" i="10"/>
  <c r="S63" i="9"/>
  <c r="S65" i="9" s="1"/>
  <c r="R63" i="9"/>
  <c r="R65" i="9" s="1"/>
  <c r="T54" i="9" s="1"/>
  <c r="E5" i="11" s="1"/>
  <c r="J50" i="10"/>
  <c r="L41" i="9"/>
  <c r="P82" i="10" l="1"/>
  <c r="R81" i="10" s="1"/>
  <c r="D5" i="11" s="1"/>
  <c r="P83" i="10"/>
  <c r="H47" i="9" l="1"/>
  <c r="J38" i="9"/>
  <c r="F47" i="9"/>
  <c r="L44" i="9"/>
  <c r="D56" i="10"/>
  <c r="N47" i="10"/>
  <c r="H53" i="10"/>
  <c r="H59" i="10" s="1"/>
  <c r="N53" i="10"/>
  <c r="F53" i="10"/>
  <c r="F59" i="10" s="1"/>
  <c r="N50" i="10"/>
  <c r="L50" i="10"/>
  <c r="L59" i="10" s="1"/>
  <c r="D50" i="10"/>
  <c r="N56" i="10"/>
  <c r="F41" i="9" l="1"/>
  <c r="L47" i="9"/>
  <c r="L38" i="9"/>
  <c r="J41" i="9"/>
  <c r="H41" i="9"/>
  <c r="J47" i="9"/>
  <c r="L61" i="10"/>
  <c r="L60" i="10"/>
  <c r="H61" i="10"/>
  <c r="H60" i="10"/>
  <c r="N59" i="10"/>
  <c r="J53" i="10"/>
  <c r="J59" i="10" s="1"/>
  <c r="D53" i="10"/>
  <c r="D59" i="10" s="1"/>
  <c r="F61" i="10"/>
  <c r="F60" i="10"/>
  <c r="D60" i="10" l="1"/>
  <c r="D61" i="10"/>
  <c r="P59" i="10"/>
  <c r="C8" i="11" s="1"/>
  <c r="N60" i="10"/>
  <c r="N61" i="10"/>
  <c r="J60" i="10"/>
  <c r="J61" i="10"/>
  <c r="P61" i="10" l="1"/>
  <c r="P60" i="10"/>
  <c r="R59" i="10" s="1"/>
  <c r="D8" i="11" s="1"/>
  <c r="N8" i="11" s="1"/>
  <c r="K9" i="8" l="1"/>
  <c r="K13" i="8"/>
  <c r="K12" i="8"/>
  <c r="K11" i="8"/>
  <c r="K10" i="8"/>
  <c r="D13" i="8"/>
  <c r="D11" i="8" l="1"/>
  <c r="D12" i="8" l="1"/>
  <c r="D9" i="8" l="1"/>
  <c r="D10" i="8" l="1"/>
  <c r="M56" i="8" l="1"/>
  <c r="F56" i="8"/>
  <c r="M55" i="8"/>
  <c r="F55" i="8"/>
  <c r="M54" i="8"/>
  <c r="F54" i="8"/>
  <c r="M53" i="8"/>
  <c r="F53" i="8"/>
  <c r="M52" i="8"/>
  <c r="F52" i="8"/>
  <c r="F58" i="8" l="1"/>
  <c r="M58" i="8"/>
  <c r="C64" i="8" l="1"/>
  <c r="C99" i="8"/>
  <c r="B64" i="8"/>
  <c r="B99" i="8"/>
  <c r="P47" i="9"/>
  <c r="R47" i="9" s="1"/>
  <c r="P44" i="9"/>
  <c r="R44" i="9" s="1"/>
  <c r="P41" i="9"/>
  <c r="R41" i="9" s="1"/>
  <c r="P38" i="9"/>
  <c r="B87" i="8"/>
  <c r="B88" i="8"/>
  <c r="B89" i="8"/>
  <c r="B90" i="8"/>
  <c r="B86" i="8"/>
  <c r="B74" i="8"/>
  <c r="B75" i="8"/>
  <c r="B76" i="8"/>
  <c r="B77" i="8"/>
  <c r="B73" i="8"/>
  <c r="M24" i="8"/>
  <c r="M23" i="8"/>
  <c r="M22" i="8"/>
  <c r="M21" i="8"/>
  <c r="M20" i="8"/>
  <c r="M13" i="8"/>
  <c r="M12" i="8"/>
  <c r="M11" i="8"/>
  <c r="M10" i="8"/>
  <c r="M9" i="8"/>
  <c r="R38" i="9" l="1"/>
  <c r="R49" i="9" s="1"/>
  <c r="P49" i="9"/>
  <c r="B8" i="11" s="1"/>
  <c r="S41" i="9"/>
  <c r="S47" i="9"/>
  <c r="S44" i="9"/>
  <c r="S38" i="9"/>
  <c r="J17" i="10"/>
  <c r="F11" i="10"/>
  <c r="H11" i="10"/>
  <c r="H17" i="10"/>
  <c r="F17" i="10"/>
  <c r="J11" i="10"/>
  <c r="J8" i="10"/>
  <c r="L14" i="10"/>
  <c r="L8" i="10"/>
  <c r="L17" i="10"/>
  <c r="D14" i="10"/>
  <c r="J14" i="10"/>
  <c r="D11" i="10"/>
  <c r="N11" i="10"/>
  <c r="N17" i="10"/>
  <c r="F14" i="10"/>
  <c r="N8" i="10"/>
  <c r="N14" i="10"/>
  <c r="H14" i="10"/>
  <c r="L11" i="10"/>
  <c r="D17" i="10"/>
  <c r="M47" i="8"/>
  <c r="M26" i="8"/>
  <c r="C98" i="8" s="1"/>
  <c r="M15" i="8"/>
  <c r="C100" i="8" s="1"/>
  <c r="N19" i="10" l="1"/>
  <c r="H38" i="10"/>
  <c r="H40" i="10" s="1"/>
  <c r="J38" i="10"/>
  <c r="J40" i="10" s="1"/>
  <c r="D19" i="10"/>
  <c r="D21" i="10" s="1"/>
  <c r="L38" i="10"/>
  <c r="L39" i="10" s="1"/>
  <c r="F39" i="10"/>
  <c r="D40" i="10"/>
  <c r="N38" i="10"/>
  <c r="L19" i="10"/>
  <c r="L20" i="10" s="1"/>
  <c r="H19" i="10"/>
  <c r="H21" i="10" s="1"/>
  <c r="S49" i="9"/>
  <c r="J19" i="10"/>
  <c r="J21" i="10" s="1"/>
  <c r="F19" i="10"/>
  <c r="F20" i="10" s="1"/>
  <c r="T38" i="9"/>
  <c r="E8" i="11" s="1"/>
  <c r="O8" i="11" s="1"/>
  <c r="C63" i="8"/>
  <c r="N20" i="10"/>
  <c r="C67" i="8"/>
  <c r="C101" i="8"/>
  <c r="C65" i="8"/>
  <c r="C66" i="8"/>
  <c r="D39" i="10" l="1"/>
  <c r="J20" i="10"/>
  <c r="H20" i="10"/>
  <c r="F40" i="10"/>
  <c r="D20" i="10"/>
  <c r="H39" i="10"/>
  <c r="L21" i="10"/>
  <c r="P38" i="10"/>
  <c r="C4" i="11" s="1"/>
  <c r="J39" i="10"/>
  <c r="L40" i="10"/>
  <c r="F21" i="10"/>
  <c r="N21" i="10"/>
  <c r="P19" i="10"/>
  <c r="N39" i="10"/>
  <c r="N40" i="10"/>
  <c r="P20" i="10" l="1"/>
  <c r="R19" i="10" s="1"/>
  <c r="N5" i="11" s="1"/>
  <c r="P40" i="10"/>
  <c r="P21" i="10"/>
  <c r="C6" i="11"/>
  <c r="P39" i="10"/>
  <c r="R38" i="10" s="1"/>
  <c r="D4" i="11" s="1"/>
  <c r="N4" i="11" s="1"/>
  <c r="C7" i="11"/>
  <c r="D6" i="11" l="1"/>
  <c r="N6" i="11" s="1"/>
  <c r="D7" i="11"/>
  <c r="N7" i="11" s="1"/>
  <c r="F47" i="8" l="1"/>
  <c r="B67" i="8" l="1"/>
  <c r="B101" i="8"/>
  <c r="F20" i="8" l="1"/>
  <c r="P26" i="9" l="1"/>
  <c r="R26" i="9" s="1"/>
  <c r="P23" i="9"/>
  <c r="P29" i="9"/>
  <c r="F24" i="8"/>
  <c r="F23" i="8"/>
  <c r="F22" i="8"/>
  <c r="F21" i="8"/>
  <c r="F13" i="8"/>
  <c r="S26" i="9" l="1"/>
  <c r="P32" i="9"/>
  <c r="R29" i="9"/>
  <c r="S29" i="9"/>
  <c r="S23" i="9"/>
  <c r="R23" i="9"/>
  <c r="F26" i="8"/>
  <c r="B98" i="8" s="1"/>
  <c r="P33" i="9" l="1"/>
  <c r="B4" i="11" s="1"/>
  <c r="S32" i="9"/>
  <c r="S33" i="9" s="1"/>
  <c r="R32" i="9"/>
  <c r="R33" i="9" s="1"/>
  <c r="B63" i="8"/>
  <c r="T23" i="9" l="1"/>
  <c r="E4" i="11" s="1"/>
  <c r="O4" i="11" s="1"/>
  <c r="F12" i="8"/>
  <c r="N13" i="9"/>
  <c r="F13" i="9"/>
  <c r="N7" i="9"/>
  <c r="N10" i="9"/>
  <c r="D16" i="9"/>
  <c r="J13" i="9"/>
  <c r="D13" i="9"/>
  <c r="N16" i="9"/>
  <c r="H13" i="9"/>
  <c r="D10" i="9"/>
  <c r="F11" i="8" l="1"/>
  <c r="L10" i="9"/>
  <c r="F9" i="8" l="1"/>
  <c r="H10" i="9"/>
  <c r="L16" i="9"/>
  <c r="F10" i="9"/>
  <c r="J16" i="9"/>
  <c r="L7" i="9"/>
  <c r="J10" i="9"/>
  <c r="P10" i="9" l="1"/>
  <c r="S10" i="9" s="1"/>
  <c r="F10" i="8"/>
  <c r="F15" i="8" s="1"/>
  <c r="B100" i="8" s="1"/>
  <c r="F16" i="9"/>
  <c r="L13" i="9"/>
  <c r="P13" i="9" s="1"/>
  <c r="H16" i="9"/>
  <c r="J7" i="9"/>
  <c r="P7" i="9" s="1"/>
  <c r="R10" i="9" l="1"/>
  <c r="B65" i="8"/>
  <c r="S13" i="9"/>
  <c r="R13" i="9"/>
  <c r="B66" i="8"/>
  <c r="P16" i="9"/>
  <c r="P17" i="9" s="1"/>
  <c r="S7" i="9"/>
  <c r="R7" i="9"/>
  <c r="C34" i="1"/>
  <c r="D15" i="4"/>
  <c r="D14" i="4"/>
  <c r="D13" i="4"/>
  <c r="D54" i="4"/>
  <c r="D53" i="4"/>
  <c r="D52" i="4"/>
  <c r="C55" i="4"/>
  <c r="B39" i="2"/>
  <c r="E40" i="2"/>
  <c r="E39" i="2"/>
  <c r="D43" i="2"/>
  <c r="D39" i="2"/>
  <c r="D40" i="2"/>
  <c r="C39" i="2"/>
  <c r="C42" i="2"/>
  <c r="C40" i="2"/>
  <c r="B40" i="2"/>
  <c r="D46" i="2"/>
  <c r="J46" i="2" s="1"/>
  <c r="H58" i="2"/>
  <c r="C52" i="2"/>
  <c r="C59" i="2" s="1"/>
  <c r="H55" i="2"/>
  <c r="H59" i="2" s="1"/>
  <c r="E55" i="4" s="1"/>
  <c r="C56" i="4" s="1"/>
  <c r="G52" i="2"/>
  <c r="G59" i="2" s="1"/>
  <c r="D55" i="2"/>
  <c r="D58" i="2" s="1"/>
  <c r="D52" i="2"/>
  <c r="D59" i="2" s="1"/>
  <c r="C56" i="2"/>
  <c r="B59" i="2"/>
  <c r="E12" i="2"/>
  <c r="E13" i="2"/>
  <c r="D3" i="2"/>
  <c r="B32" i="1"/>
  <c r="G58" i="2" l="1"/>
  <c r="E53" i="4" s="1"/>
  <c r="C58" i="2"/>
  <c r="R16" i="9"/>
  <c r="R17" i="9" s="1"/>
  <c r="T7" i="9" s="1"/>
  <c r="S16" i="9"/>
  <c r="S17" i="9" s="1"/>
  <c r="B7" i="11"/>
  <c r="B6" i="11"/>
  <c r="B22" i="1"/>
  <c r="B23" i="1" s="1"/>
  <c r="B58" i="2"/>
  <c r="D55" i="4"/>
  <c r="E6" i="11" l="1"/>
  <c r="O6" i="11" s="1"/>
  <c r="E7" i="11"/>
  <c r="O7" i="11" s="1"/>
  <c r="O5" i="11"/>
  <c r="J47" i="2"/>
  <c r="E41" i="2"/>
  <c r="C41" i="2"/>
  <c r="B41" i="2"/>
  <c r="E9" i="2"/>
  <c r="E10" i="2"/>
  <c r="E11" i="2"/>
  <c r="E8" i="2"/>
  <c r="E46" i="2" l="1"/>
  <c r="K46" i="2" s="1"/>
  <c r="K47" i="2"/>
  <c r="I47" i="2"/>
  <c r="C46" i="2"/>
  <c r="I46" i="2" s="1"/>
  <c r="H47" i="2"/>
  <c r="B31" i="1"/>
  <c r="B30" i="1" s="1"/>
  <c r="B29" i="1" s="1"/>
  <c r="B28" i="1" s="1"/>
  <c r="B9" i="1"/>
  <c r="B17" i="1" s="1"/>
  <c r="B18" i="1" s="1"/>
  <c r="C11" i="1"/>
  <c r="E6" i="1"/>
  <c r="E5" i="1"/>
  <c r="F5" i="1" s="1"/>
  <c r="E7" i="1"/>
  <c r="F7" i="1" s="1"/>
  <c r="E8" i="1"/>
  <c r="F8" i="1" s="1"/>
  <c r="E9" i="1"/>
  <c r="F9" i="1" s="1"/>
  <c r="H46" i="2" l="1"/>
  <c r="C31" i="1"/>
  <c r="D31" i="1" s="1"/>
  <c r="F6" i="1"/>
  <c r="F11" i="1" s="1"/>
  <c r="C29" i="1"/>
  <c r="D29" i="1"/>
  <c r="C32" i="1"/>
  <c r="D32" i="1" s="1"/>
  <c r="C28" i="1"/>
  <c r="D28" i="1" s="1"/>
  <c r="C30" i="1"/>
  <c r="D30" i="1" s="1"/>
  <c r="E11" i="1"/>
  <c r="F72" i="4" l="1"/>
  <c r="F71" i="4"/>
  <c r="F70" i="4"/>
  <c r="F69" i="4"/>
  <c r="E71" i="4"/>
  <c r="E70" i="4"/>
  <c r="E72" i="4"/>
  <c r="D34" i="1"/>
  <c r="E30" i="1" s="1"/>
  <c r="C88" i="8" l="1"/>
  <c r="C75" i="8"/>
  <c r="E29" i="1"/>
  <c r="E31" i="1"/>
  <c r="E28" i="1"/>
  <c r="E32" i="1"/>
  <c r="C74" i="8" l="1"/>
  <c r="C87" i="8"/>
  <c r="C77" i="8"/>
  <c r="C90" i="8"/>
  <c r="C89" i="8"/>
  <c r="C76" i="8"/>
  <c r="C73" i="8"/>
  <c r="C86" i="8"/>
  <c r="F29" i="1"/>
  <c r="E34" i="1"/>
  <c r="F28" i="1"/>
  <c r="B9" i="2" l="1"/>
  <c r="C9" i="2" s="1"/>
  <c r="F9" i="2" s="1"/>
  <c r="D74" i="8"/>
  <c r="D87" i="8"/>
  <c r="F30" i="1"/>
  <c r="B10" i="2" s="1"/>
  <c r="C10" i="2" s="1"/>
  <c r="F10" i="2" s="1"/>
  <c r="B8" i="2"/>
  <c r="C8" i="2" s="1"/>
  <c r="F8" i="2" s="1"/>
  <c r="F19" i="2" s="1"/>
  <c r="F22" i="4" s="1"/>
  <c r="D73" i="8"/>
  <c r="D86" i="8"/>
  <c r="F24" i="4" l="1"/>
  <c r="H24" i="4" s="1"/>
  <c r="H22" i="4"/>
  <c r="C19" i="2"/>
  <c r="F18" i="2"/>
  <c r="C18" i="2" s="1"/>
  <c r="H18" i="2" s="1"/>
  <c r="F87" i="8"/>
  <c r="E17" i="11"/>
  <c r="E27" i="11"/>
  <c r="E36" i="11"/>
  <c r="E45" i="11"/>
  <c r="B30" i="2"/>
  <c r="F86" i="8"/>
  <c r="E16" i="11"/>
  <c r="E44" i="11"/>
  <c r="E26" i="11"/>
  <c r="E35" i="11"/>
  <c r="F73" i="8"/>
  <c r="D26" i="11"/>
  <c r="D16" i="11"/>
  <c r="D35" i="11"/>
  <c r="D44" i="11"/>
  <c r="F74" i="8"/>
  <c r="D27" i="11"/>
  <c r="D45" i="11"/>
  <c r="D17" i="11"/>
  <c r="D36" i="11"/>
  <c r="D9" i="2"/>
  <c r="C30" i="2" s="1"/>
  <c r="B29" i="2"/>
  <c r="D8" i="2"/>
  <c r="G8" i="2" s="1"/>
  <c r="D29" i="2"/>
  <c r="F31" i="1"/>
  <c r="D76" i="8" s="1"/>
  <c r="D75" i="8"/>
  <c r="D88" i="8"/>
  <c r="D30" i="2"/>
  <c r="B31" i="2"/>
  <c r="F20" i="2"/>
  <c r="C20" i="2" s="1"/>
  <c r="D10" i="2"/>
  <c r="F29" i="2" l="1"/>
  <c r="G18" i="2"/>
  <c r="D18" i="2" s="1"/>
  <c r="J18" i="2" s="1"/>
  <c r="C24" i="4"/>
  <c r="C25" i="4" s="1"/>
  <c r="E29" i="2"/>
  <c r="J29" i="2" s="1"/>
  <c r="D68" i="4" s="1"/>
  <c r="I29" i="2"/>
  <c r="C68" i="4" s="1"/>
  <c r="I30" i="2"/>
  <c r="C69" i="4" s="1"/>
  <c r="G9" i="2"/>
  <c r="G19" i="2" s="1"/>
  <c r="F88" i="8"/>
  <c r="E46" i="11"/>
  <c r="E37" i="11"/>
  <c r="E18" i="11"/>
  <c r="E28" i="11"/>
  <c r="F75" i="8"/>
  <c r="D37" i="11"/>
  <c r="D18" i="11"/>
  <c r="D28" i="11"/>
  <c r="D46" i="11"/>
  <c r="F76" i="8"/>
  <c r="D19" i="11"/>
  <c r="D38" i="11"/>
  <c r="D29" i="11"/>
  <c r="D47" i="11"/>
  <c r="C29" i="2"/>
  <c r="F32" i="1"/>
  <c r="B12" i="2" s="1"/>
  <c r="C12" i="2" s="1"/>
  <c r="B11" i="2"/>
  <c r="C11" i="2" s="1"/>
  <c r="F11" i="2" s="1"/>
  <c r="F21" i="2" s="1"/>
  <c r="C21" i="2" s="1"/>
  <c r="H21" i="2" s="1"/>
  <c r="D89" i="8"/>
  <c r="H20" i="2"/>
  <c r="H70" i="4" s="1"/>
  <c r="H19" i="2"/>
  <c r="F31" i="2"/>
  <c r="G10" i="2"/>
  <c r="C31" i="2"/>
  <c r="F30" i="2"/>
  <c r="G22" i="4" s="1"/>
  <c r="H68" i="4"/>
  <c r="G29" i="2"/>
  <c r="D31" i="2"/>
  <c r="B32" i="2" l="1"/>
  <c r="G24" i="4"/>
  <c r="I24" i="4" s="1"/>
  <c r="I22" i="4"/>
  <c r="E30" i="2"/>
  <c r="J30" i="2" s="1"/>
  <c r="D69" i="4" s="1"/>
  <c r="G20" i="2"/>
  <c r="H76" i="8"/>
  <c r="J76" i="8" s="1"/>
  <c r="I31" i="2"/>
  <c r="C70" i="4" s="1"/>
  <c r="D90" i="8"/>
  <c r="F90" i="8" s="1"/>
  <c r="F89" i="8"/>
  <c r="E38" i="11"/>
  <c r="E47" i="11"/>
  <c r="E19" i="11"/>
  <c r="E29" i="11"/>
  <c r="D77" i="8"/>
  <c r="D11" i="2"/>
  <c r="C32" i="2" s="1"/>
  <c r="I76" i="8"/>
  <c r="F13" i="2"/>
  <c r="F12" i="2"/>
  <c r="D33" i="2" s="1"/>
  <c r="D12" i="2"/>
  <c r="G13" i="2" s="1"/>
  <c r="D32" i="2"/>
  <c r="I32" i="2" s="1"/>
  <c r="B33" i="2"/>
  <c r="F32" i="2"/>
  <c r="E31" i="2"/>
  <c r="D19" i="2"/>
  <c r="D24" i="4" l="1"/>
  <c r="D25" i="4" s="1"/>
  <c r="H75" i="8"/>
  <c r="I75" i="8" s="1"/>
  <c r="E48" i="11"/>
  <c r="E20" i="11"/>
  <c r="E30" i="11"/>
  <c r="H90" i="8"/>
  <c r="H89" i="8"/>
  <c r="J89" i="8" s="1"/>
  <c r="J31" i="2"/>
  <c r="D70" i="4" s="1"/>
  <c r="E39" i="11"/>
  <c r="I33" i="2"/>
  <c r="C72" i="4" s="1"/>
  <c r="C78" i="4" s="1"/>
  <c r="F77" i="8"/>
  <c r="H77" i="8" s="1"/>
  <c r="D48" i="11"/>
  <c r="D39" i="11"/>
  <c r="D20" i="11"/>
  <c r="D30" i="11"/>
  <c r="G11" i="2"/>
  <c r="H74" i="8"/>
  <c r="C71" i="4"/>
  <c r="J19" i="2"/>
  <c r="C33" i="2"/>
  <c r="G12" i="2"/>
  <c r="H71" i="4" s="1"/>
  <c r="C76" i="4" s="1"/>
  <c r="G31" i="2"/>
  <c r="G30" i="2"/>
  <c r="H69" i="4"/>
  <c r="D34" i="2"/>
  <c r="F22" i="2"/>
  <c r="H88" i="8" l="1"/>
  <c r="H87" i="8" s="1"/>
  <c r="I89" i="8"/>
  <c r="J75" i="8"/>
  <c r="D20" i="2"/>
  <c r="J20" i="2" s="1"/>
  <c r="G22" i="2"/>
  <c r="G21" i="2"/>
  <c r="I34" i="2"/>
  <c r="C73" i="4" s="1"/>
  <c r="C75" i="4"/>
  <c r="I90" i="8"/>
  <c r="J90" i="8"/>
  <c r="E32" i="2"/>
  <c r="J77" i="8"/>
  <c r="I77" i="8"/>
  <c r="J74" i="8"/>
  <c r="H73" i="8"/>
  <c r="I74" i="8"/>
  <c r="J88" i="8"/>
  <c r="I88" i="8"/>
  <c r="F16" i="4"/>
  <c r="H16" i="4" s="1"/>
  <c r="F14" i="4"/>
  <c r="H14" i="4" s="1"/>
  <c r="F55" i="4"/>
  <c r="H55" i="4" s="1"/>
  <c r="F53" i="4"/>
  <c r="H53" i="4" s="1"/>
  <c r="C22" i="2"/>
  <c r="H22" i="2" s="1"/>
  <c r="E33" i="2"/>
  <c r="J33" i="2" s="1"/>
  <c r="D21" i="2"/>
  <c r="G32" i="2"/>
  <c r="F33" i="2"/>
  <c r="C16" i="4" l="1"/>
  <c r="C17" i="4" s="1"/>
  <c r="J32" i="2"/>
  <c r="D71" i="4" s="1"/>
  <c r="J73" i="8"/>
  <c r="J79" i="8" s="1"/>
  <c r="I73" i="8"/>
  <c r="I79" i="8" s="1"/>
  <c r="H86" i="8"/>
  <c r="J87" i="8"/>
  <c r="I87" i="8"/>
  <c r="G14" i="4"/>
  <c r="G53" i="4"/>
  <c r="J21" i="2"/>
  <c r="D72" i="4"/>
  <c r="E34" i="2"/>
  <c r="J86" i="8" l="1"/>
  <c r="J92" i="8" s="1"/>
  <c r="I86" i="8"/>
  <c r="I92" i="8" s="1"/>
  <c r="B81" i="8"/>
  <c r="G55" i="4"/>
  <c r="I55" i="4" s="1"/>
  <c r="I53" i="4"/>
  <c r="G16" i="4"/>
  <c r="I16" i="4" s="1"/>
  <c r="I14" i="4"/>
  <c r="J34" i="2"/>
  <c r="D73" i="4" s="1"/>
  <c r="G33" i="2"/>
  <c r="D22" i="2"/>
  <c r="J22" i="2" s="1"/>
  <c r="H72" i="4"/>
  <c r="C79" i="4" s="1"/>
  <c r="B94" i="8" l="1"/>
  <c r="D16" i="4"/>
  <c r="D17" i="4" s="1"/>
  <c r="D56" i="4"/>
</calcChain>
</file>

<file path=xl/sharedStrings.xml><?xml version="1.0" encoding="utf-8"?>
<sst xmlns="http://schemas.openxmlformats.org/spreadsheetml/2006/main" count="597" uniqueCount="258">
  <si>
    <t>Impalcato</t>
  </si>
  <si>
    <t>Mansarda</t>
  </si>
  <si>
    <t>Area</t>
  </si>
  <si>
    <t>Peso unitario</t>
  </si>
  <si>
    <t>Peso Impalcato</t>
  </si>
  <si>
    <t>Massa</t>
  </si>
  <si>
    <t>tot</t>
  </si>
  <si>
    <t xml:space="preserve">                                                          (FORMULA DI NORMATIVA, VIA APPROSSIMATA)</t>
  </si>
  <si>
    <t>C1</t>
  </si>
  <si>
    <t>H</t>
  </si>
  <si>
    <t>T1</t>
  </si>
  <si>
    <t>Altezza</t>
  </si>
  <si>
    <t>Vb</t>
  </si>
  <si>
    <t>Sd(T1)_slv</t>
  </si>
  <si>
    <t>Peso Impalcato (W)</t>
  </si>
  <si>
    <t>w*z</t>
  </si>
  <si>
    <t>Forza al piano</t>
  </si>
  <si>
    <t>TOTALE</t>
  </si>
  <si>
    <t>Quota z</t>
  </si>
  <si>
    <t>Taglio</t>
  </si>
  <si>
    <t>IMPALCATI</t>
  </si>
  <si>
    <t>V_globale</t>
  </si>
  <si>
    <t>mansarda</t>
  </si>
  <si>
    <t>lungo x</t>
  </si>
  <si>
    <t>contributo 1</t>
  </si>
  <si>
    <t>contributo 0,7</t>
  </si>
  <si>
    <t>V_pilastro_1</t>
  </si>
  <si>
    <t>V_pilastro_0,7</t>
  </si>
  <si>
    <t>Braccio</t>
  </si>
  <si>
    <t>piede</t>
  </si>
  <si>
    <t>Momento pilastro_1</t>
  </si>
  <si>
    <t>Momento pilastro_0,7</t>
  </si>
  <si>
    <t>Momento Trave_1</t>
  </si>
  <si>
    <t>Momento Trave_0,7</t>
  </si>
  <si>
    <t>TRAVE</t>
  </si>
  <si>
    <t>V_trave_1</t>
  </si>
  <si>
    <t>V_trave_0,7</t>
  </si>
  <si>
    <t>L_trave</t>
  </si>
  <si>
    <t>ΔN PILASTRO</t>
  </si>
  <si>
    <t xml:space="preserve">                     INCREMENTO PER ECCENTRICITA' NEI TELAI PERIMETRALI     +20%</t>
  </si>
  <si>
    <t xml:space="preserve">           Gerarchia delle resistenze</t>
  </si>
  <si>
    <t>PILASTRI PIU' SOLLECITATI</t>
  </si>
  <si>
    <t>SOLAIO</t>
  </si>
  <si>
    <t>TAMPONATURA</t>
  </si>
  <si>
    <t>SBALZO</t>
  </si>
  <si>
    <t>SCALA</t>
  </si>
  <si>
    <t xml:space="preserve">PILASTRI </t>
  </si>
  <si>
    <t>TRAVI</t>
  </si>
  <si>
    <t>Travi emergenti</t>
  </si>
  <si>
    <t>Momento per sisma</t>
  </si>
  <si>
    <t>Trave + caricata</t>
  </si>
  <si>
    <t>L</t>
  </si>
  <si>
    <t>DATI</t>
  </si>
  <si>
    <t>b</t>
  </si>
  <si>
    <t>c</t>
  </si>
  <si>
    <t>f_ck</t>
  </si>
  <si>
    <t>d</t>
  </si>
  <si>
    <t>r</t>
  </si>
  <si>
    <t>SEZIONE</t>
  </si>
  <si>
    <t>Trave a spessore</t>
  </si>
  <si>
    <t>R_ck</t>
  </si>
  <si>
    <t>h</t>
  </si>
  <si>
    <t>grandezze geometriche</t>
  </si>
  <si>
    <t>sollecitazioni</t>
  </si>
  <si>
    <t>PILASTRI</t>
  </si>
  <si>
    <t>sforzo normale_min</t>
  </si>
  <si>
    <t>CALCOLO DELLE MASSE</t>
  </si>
  <si>
    <t xml:space="preserve">                    CALCOLO DEL PERIODO</t>
  </si>
  <si>
    <t xml:space="preserve">                                                </t>
  </si>
  <si>
    <t xml:space="preserve">                                   CALCOLO DEL TAGLIO ALLA BASE</t>
  </si>
  <si>
    <t xml:space="preserve">         FORZA AL PIANO</t>
  </si>
  <si>
    <t>sforzo normale_max</t>
  </si>
  <si>
    <t>Coppie M-N più gravose</t>
  </si>
  <si>
    <t>M</t>
  </si>
  <si>
    <t>N</t>
  </si>
  <si>
    <t>Momento       Trave_1</t>
  </si>
  <si>
    <t>Momento        Trave_0,7</t>
  </si>
  <si>
    <t>CON SISMA</t>
  </si>
  <si>
    <t>CARICHI UNITARI</t>
  </si>
  <si>
    <t>ASSENZA DI SISMA</t>
  </si>
  <si>
    <t>ΔN PILASTRO_0,7</t>
  </si>
  <si>
    <t xml:space="preserve"> KN/m2</t>
  </si>
  <si>
    <t xml:space="preserve"> KN/m</t>
  </si>
  <si>
    <t>TRAVI PIU' SOLLECITATE</t>
  </si>
  <si>
    <t>TRAVI      EMERGENTI</t>
  </si>
  <si>
    <t>TRAVI A SPESSORE</t>
  </si>
  <si>
    <t>CARICO TOTALE      ASSENZA DI SISMA</t>
  </si>
  <si>
    <t>CARICHO TOTALE  ASSENZA DI SISMA</t>
  </si>
  <si>
    <t>CARICO TOTALE PRESENZA DI SISMA</t>
  </si>
  <si>
    <t>CARICO TOTALE ASSENZA DI SISMA</t>
  </si>
  <si>
    <t>NUMERO DI PIANI</t>
  </si>
  <si>
    <t>CARICO TOTALE ASSENZA DI SISMA,AL PIEDE</t>
  </si>
  <si>
    <t>CARICO TOTALE PRESENZA DI SISMA, AL PIEDE</t>
  </si>
  <si>
    <t>Momento per C.V ASSENZA SISMA</t>
  </si>
  <si>
    <t>Momento per sisma,TRAVE PERIMETRALE</t>
  </si>
  <si>
    <t>Momento_max_tot TRAVE INTERNA</t>
  </si>
  <si>
    <t>Momento_max_tot TRAVE ESTERNA</t>
  </si>
  <si>
    <t>MOMENTO C.V PRESENZA DI SISMA</t>
  </si>
  <si>
    <t>PIEDE</t>
  </si>
  <si>
    <t>N_max</t>
  </si>
  <si>
    <t>N_min</t>
  </si>
  <si>
    <t>ARMATURA</t>
  </si>
  <si>
    <t>APPROCCIO GLOBALE SEMPLIFICATO</t>
  </si>
  <si>
    <t>CALCOLO DELLA RIGIDEZZA</t>
  </si>
  <si>
    <t>25X60</t>
  </si>
  <si>
    <t>DIREZIONE X</t>
  </si>
  <si>
    <t>Kx</t>
  </si>
  <si>
    <t>PIANO TIPO</t>
  </si>
  <si>
    <t xml:space="preserve">PILASTRO 30X70 CON 2 TRAVI EMERGENTI </t>
  </si>
  <si>
    <t xml:space="preserve">PILASTRO 30X70 CON 1 TRAVE EMERGENTE </t>
  </si>
  <si>
    <t xml:space="preserve">PILASTRO 70X30 CON 2 TRAVI EMERGENTI </t>
  </si>
  <si>
    <t xml:space="preserve">PILASTRO 70X30 CON 1 TRAVE EMERGENTE </t>
  </si>
  <si>
    <t xml:space="preserve">PILASTRO 70X30 CON TRAVI  ASPESSORE </t>
  </si>
  <si>
    <t>K_tot_PER TIPOLOGIA</t>
  </si>
  <si>
    <t>Kx_TOT</t>
  </si>
  <si>
    <t>K</t>
  </si>
  <si>
    <t>MANSARDA</t>
  </si>
  <si>
    <t>DIREZIONE Y</t>
  </si>
  <si>
    <t>I_IMPALCATO</t>
  </si>
  <si>
    <t>ORDINE</t>
  </si>
  <si>
    <t>Ky</t>
  </si>
  <si>
    <t>Ky_TOT</t>
  </si>
  <si>
    <t>CALCOLO DEL PERIODO</t>
  </si>
  <si>
    <t>IMPALCATO</t>
  </si>
  <si>
    <t>MASSA    m                                                                       (KN s^2/m)</t>
  </si>
  <si>
    <t>FORZA      F(KN)</t>
  </si>
  <si>
    <r>
      <t xml:space="preserve">SPOSTAMENTO_RELATIVO                              </t>
    </r>
    <r>
      <rPr>
        <sz val="12"/>
        <color theme="1"/>
        <rFont val="Calibri"/>
        <family val="2"/>
        <scheme val="minor"/>
      </rPr>
      <t>u</t>
    </r>
    <r>
      <rPr>
        <sz val="8"/>
        <color theme="1"/>
        <rFont val="Calibri"/>
        <family val="2"/>
        <scheme val="minor"/>
      </rPr>
      <t>r   (mm)</t>
    </r>
  </si>
  <si>
    <t>SPOSTAMENTO ASSOLUTO u(mm)</t>
  </si>
  <si>
    <t>F x u    (KN mm)</t>
  </si>
  <si>
    <t>m x u^2  (KN mm S^2)</t>
  </si>
  <si>
    <t>TAGLIO                    V(KN)</t>
  </si>
  <si>
    <t>TOT</t>
  </si>
  <si>
    <t>PERIODO (s)</t>
  </si>
  <si>
    <t>DIVIDENDO LA RIGIDEZZA TOTALE PER QUELLA DEL PILASTRO Più RIGIDO SI OTTIENE</t>
  </si>
  <si>
    <t>I IMPALCATO</t>
  </si>
  <si>
    <t>DOREZIONE Y</t>
  </si>
  <si>
    <t>X=</t>
  </si>
  <si>
    <t>Y=</t>
  </si>
  <si>
    <t>SOMMA</t>
  </si>
  <si>
    <t>s*y</t>
  </si>
  <si>
    <t>s*y2</t>
  </si>
  <si>
    <t>yG</t>
  </si>
  <si>
    <t>S*X</t>
  </si>
  <si>
    <t>S*X2</t>
  </si>
  <si>
    <t>XG=</t>
  </si>
  <si>
    <t>∑KX</t>
  </si>
  <si>
    <t>∑KY</t>
  </si>
  <si>
    <t>xGk</t>
  </si>
  <si>
    <t>yGk</t>
  </si>
  <si>
    <t>rKx</t>
  </si>
  <si>
    <t>rKy</t>
  </si>
  <si>
    <t>xGm</t>
  </si>
  <si>
    <t>yGm</t>
  </si>
  <si>
    <t>rm</t>
  </si>
  <si>
    <t>∆x</t>
  </si>
  <si>
    <t>∆y</t>
  </si>
  <si>
    <t xml:space="preserve">PILASTRO 30X80 CON 2 TRAVI EMERGENTI </t>
  </si>
  <si>
    <t xml:space="preserve">PILASTRO 30X80 CON 1 TRAVE EMERGENTE </t>
  </si>
  <si>
    <t xml:space="preserve">PILASTRO 80X30 CON 2 TRAVI EMERGENTI </t>
  </si>
  <si>
    <t xml:space="preserve">PILASTRO 80X30 CON 1 TRAVE EMERGENTE </t>
  </si>
  <si>
    <t xml:space="preserve">PILASTRO 80X30 CON TRAVI  ASPESSORE </t>
  </si>
  <si>
    <t>6 f 20</t>
  </si>
  <si>
    <t>30 x 80</t>
  </si>
  <si>
    <t>4 f 20</t>
  </si>
  <si>
    <t>30 x 60</t>
  </si>
  <si>
    <t>30 x 70</t>
  </si>
  <si>
    <t>5 f 20</t>
  </si>
  <si>
    <t>IV_IMPALCATO</t>
  </si>
  <si>
    <t xml:space="preserve">PILASTRO 30X60 CON 2 TRAVI EMERGENTI </t>
  </si>
  <si>
    <t xml:space="preserve">PILASTRO 30X60 CON 1 TRAVE EMERGENTE </t>
  </si>
  <si>
    <t xml:space="preserve">PILASTRO 60X30 CON 2 TRAVI EMERGENTI </t>
  </si>
  <si>
    <t xml:space="preserve">PILASTRO 60X30 CON 1 TRAVE EMERGENTE </t>
  </si>
  <si>
    <t xml:space="preserve">PILASTRO 60X30 CON TRAVI  ASPESSORE </t>
  </si>
  <si>
    <t>IV IMPALCATO</t>
  </si>
  <si>
    <t>YG</t>
  </si>
  <si>
    <t>X-pilastri equivalenti</t>
  </si>
  <si>
    <t>Y-    pilastri equivalenti</t>
  </si>
  <si>
    <t>ripatizione taglio tra i pilastri a ciascun piano</t>
  </si>
  <si>
    <t>x</t>
  </si>
  <si>
    <t>y</t>
  </si>
  <si>
    <t>PESO PROPRIO</t>
  </si>
  <si>
    <t xml:space="preserve">impalcati </t>
  </si>
  <si>
    <t>6  (perimestrale,senza sbalzo)</t>
  </si>
  <si>
    <t>2               (perimestrale, con sbalzo)</t>
  </si>
  <si>
    <t>10                                (di spina con scala)</t>
  </si>
  <si>
    <t>14                                                (perimetrale)</t>
  </si>
  <si>
    <t>MANSARDA_SPINA</t>
  </si>
  <si>
    <t xml:space="preserve">PILASTRO 30X60 CON 2 TRAVI </t>
  </si>
  <si>
    <t xml:space="preserve">PILASTRO 30X60 CON 1 TRAVE </t>
  </si>
  <si>
    <t xml:space="preserve">PILASTRO 60X30 CON 2 TRAVI </t>
  </si>
  <si>
    <t xml:space="preserve">PILASTRO 60X30 CON 1 TRAVE </t>
  </si>
  <si>
    <t xml:space="preserve">PILASTRO 60X30 CON TRAVI  </t>
  </si>
  <si>
    <t>MANSARDA_PERIMETRALE_TRAVI A SPESSORE</t>
  </si>
  <si>
    <t>TRAVE (INTERNA)                   102 campata3</t>
  </si>
  <si>
    <t>TRAVE  (INTERNA)    106 campata2</t>
  </si>
  <si>
    <t>TRAVE (ESTERNA)                   105 campata2</t>
  </si>
  <si>
    <t>TRAVE  (INTERNA)                   106 campata 1</t>
  </si>
  <si>
    <t>TRAVE (esterna)                       110 campata 2</t>
  </si>
  <si>
    <t>TRAVE (INTERNA)  106 campata2</t>
  </si>
  <si>
    <t>ESTERNA                   105 campata2</t>
  </si>
  <si>
    <r>
      <t>I</t>
    </r>
    <r>
      <rPr>
        <sz val="8"/>
        <color theme="1"/>
        <rFont val="Calibri"/>
        <family val="2"/>
        <scheme val="minor"/>
      </rPr>
      <t>p</t>
    </r>
  </si>
  <si>
    <r>
      <t>I</t>
    </r>
    <r>
      <rPr>
        <sz val="8"/>
        <color theme="1"/>
        <rFont val="Calibri"/>
        <family val="2"/>
        <scheme val="minor"/>
      </rPr>
      <t>t_inf</t>
    </r>
  </si>
  <si>
    <r>
      <t>I</t>
    </r>
    <r>
      <rPr>
        <sz val="8"/>
        <color theme="1"/>
        <rFont val="Calibri"/>
        <family val="2"/>
        <scheme val="minor"/>
      </rPr>
      <t>t_sup</t>
    </r>
  </si>
  <si>
    <r>
      <t>L</t>
    </r>
    <r>
      <rPr>
        <sz val="8"/>
        <color theme="1"/>
        <rFont val="Calibri"/>
        <family val="2"/>
        <scheme val="minor"/>
      </rPr>
      <t>t</t>
    </r>
  </si>
  <si>
    <r>
      <t>L</t>
    </r>
    <r>
      <rPr>
        <sz val="8"/>
        <color theme="1"/>
        <rFont val="Calibri"/>
        <family val="2"/>
        <scheme val="minor"/>
      </rPr>
      <t>p</t>
    </r>
  </si>
  <si>
    <t>E</t>
  </si>
  <si>
    <t>LUNGO X</t>
  </si>
  <si>
    <t>B</t>
  </si>
  <si>
    <t>∑ Ip IMPALCATO</t>
  </si>
  <si>
    <t>N pilastri</t>
  </si>
  <si>
    <t>∑ It_sup IMPALCATO</t>
  </si>
  <si>
    <t>N travi</t>
  </si>
  <si>
    <t>∑ It_inf IMPALCATO</t>
  </si>
  <si>
    <t>k</t>
  </si>
  <si>
    <t>∑ Ip/Lp</t>
  </si>
  <si>
    <t>∑ t_sup/Lt</t>
  </si>
  <si>
    <t>∑ t_inf/Lt</t>
  </si>
  <si>
    <t>LUNGO Y</t>
  </si>
  <si>
    <t>60X25</t>
  </si>
  <si>
    <t>RIGIDEZZA X</t>
  </si>
  <si>
    <t>TELAIO</t>
  </si>
  <si>
    <t>I IMPALCAT0</t>
  </si>
  <si>
    <t>TEL</t>
  </si>
  <si>
    <t>159-155</t>
  </si>
  <si>
    <t>84-79</t>
  </si>
  <si>
    <t>160-157</t>
  </si>
  <si>
    <t>85-79</t>
  </si>
  <si>
    <t>86-93</t>
  </si>
  <si>
    <t>33-34</t>
  </si>
  <si>
    <t>32-33</t>
  </si>
  <si>
    <t>75-75</t>
  </si>
  <si>
    <t>52-53</t>
  </si>
  <si>
    <t>82-91</t>
  </si>
  <si>
    <t>CONDIZIONE DI CARICO 1</t>
  </si>
  <si>
    <t>RIDIDEZZA Y</t>
  </si>
  <si>
    <t>CONDIZIONE DI CARICO 2</t>
  </si>
  <si>
    <t>PREVISIONE</t>
  </si>
  <si>
    <t>174-162</t>
  </si>
  <si>
    <t>89-85</t>
  </si>
  <si>
    <t>170-162</t>
  </si>
  <si>
    <t>91-84</t>
  </si>
  <si>
    <t>104-99</t>
  </si>
  <si>
    <t>40-38</t>
  </si>
  <si>
    <t>80-77</t>
  </si>
  <si>
    <t>59-56</t>
  </si>
  <si>
    <t>108-99</t>
  </si>
  <si>
    <t>SPOSTAMENTO X</t>
  </si>
  <si>
    <t>SPOSTAMENTO Y</t>
  </si>
  <si>
    <t>MEDIA VALORI TELAI</t>
  </si>
  <si>
    <t>MEDIA     VALORI TELAI</t>
  </si>
  <si>
    <t xml:space="preserve">tel </t>
  </si>
  <si>
    <t>previsione</t>
  </si>
  <si>
    <t>tel</t>
  </si>
  <si>
    <t>statica x</t>
  </si>
  <si>
    <t>modale</t>
  </si>
  <si>
    <t>piano</t>
  </si>
  <si>
    <t>pilastri</t>
  </si>
  <si>
    <t>travi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</si>
</sst>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0" fillId="0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Fill="1"/>
    <xf numFmtId="0" fontId="0" fillId="0" borderId="0" xfId="0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8" borderId="0" xfId="0" applyFont="1" applyFill="1"/>
    <xf numFmtId="0" fontId="0" fillId="8" borderId="0" xfId="0" applyFill="1"/>
    <xf numFmtId="0" fontId="2" fillId="6" borderId="0" xfId="0" applyFont="1" applyFill="1" applyAlignment="1">
      <alignment horizontal="center" vertical="top"/>
    </xf>
    <xf numFmtId="0" fontId="0" fillId="6" borderId="0" xfId="0" applyFill="1" applyAlignment="1">
      <alignment horizontal="center" wrapText="1"/>
    </xf>
    <xf numFmtId="0" fontId="0" fillId="10" borderId="0" xfId="0" applyFill="1" applyAlignment="1">
      <alignment horizontal="center"/>
    </xf>
    <xf numFmtId="0" fontId="2" fillId="9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/>
    <xf numFmtId="2" fontId="0" fillId="0" borderId="12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0" xfId="0" applyBorder="1"/>
    <xf numFmtId="0" fontId="1" fillId="0" borderId="1" xfId="0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/>
    <xf numFmtId="0" fontId="3" fillId="5" borderId="1" xfId="0" applyFont="1" applyFill="1" applyBorder="1"/>
    <xf numFmtId="0" fontId="0" fillId="5" borderId="1" xfId="0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/>
    <xf numFmtId="0" fontId="4" fillId="7" borderId="1" xfId="0" applyFont="1" applyFill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wrapText="1"/>
    </xf>
    <xf numFmtId="2" fontId="0" fillId="0" borderId="11" xfId="0" applyNumberForma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10" borderId="0" xfId="0" applyFill="1" applyAlignment="1">
      <alignment horizontal="left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wrapText="1"/>
    </xf>
    <xf numFmtId="0" fontId="0" fillId="10" borderId="0" xfId="0" applyFill="1"/>
    <xf numFmtId="0" fontId="1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0" fillId="11" borderId="0" xfId="0" applyFill="1"/>
    <xf numFmtId="2" fontId="0" fillId="0" borderId="11" xfId="0" applyNumberFormat="1" applyBorder="1" applyAlignment="1">
      <alignment horizontal="center" vertical="center" wrapText="1"/>
    </xf>
    <xf numFmtId="0" fontId="0" fillId="11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11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2" fontId="0" fillId="0" borderId="0" xfId="0" applyNumberFormat="1" applyFill="1" applyAlignment="1">
      <alignment horizontal="center"/>
    </xf>
    <xf numFmtId="2" fontId="0" fillId="0" borderId="10" xfId="0" applyNumberForma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" xfId="0" applyNumberFormat="1" applyBorder="1"/>
    <xf numFmtId="2" fontId="0" fillId="0" borderId="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2" fontId="0" fillId="0" borderId="15" xfId="0" applyNumberFormat="1" applyBorder="1"/>
    <xf numFmtId="0" fontId="0" fillId="0" borderId="1" xfId="0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18" xfId="0" applyNumberFormat="1" applyBorder="1"/>
    <xf numFmtId="0" fontId="0" fillId="0" borderId="11" xfId="0" applyBorder="1"/>
    <xf numFmtId="0" fontId="0" fillId="0" borderId="13" xfId="0" applyBorder="1"/>
    <xf numFmtId="0" fontId="0" fillId="13" borderId="1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wrapText="1"/>
    </xf>
    <xf numFmtId="0" fontId="1" fillId="14" borderId="0" xfId="0" applyFont="1" applyFill="1"/>
    <xf numFmtId="0" fontId="0" fillId="14" borderId="0" xfId="0" applyFill="1"/>
    <xf numFmtId="0" fontId="0" fillId="15" borderId="0" xfId="0" applyFill="1"/>
    <xf numFmtId="0" fontId="0" fillId="9" borderId="5" xfId="0" applyFill="1" applyBorder="1"/>
    <xf numFmtId="0" fontId="0" fillId="9" borderId="0" xfId="0" applyFill="1"/>
    <xf numFmtId="0" fontId="0" fillId="0" borderId="0" xfId="0" applyAlignment="1">
      <alignment vertical="center"/>
    </xf>
    <xf numFmtId="2" fontId="0" fillId="0" borderId="18" xfId="0" applyNumberFormat="1" applyBorder="1" applyAlignment="1">
      <alignment horizontal="center"/>
    </xf>
    <xf numFmtId="0" fontId="0" fillId="8" borderId="1" xfId="0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 wrapText="1"/>
    </xf>
    <xf numFmtId="2" fontId="0" fillId="9" borderId="1" xfId="0" applyNumberForma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/>
    </xf>
    <xf numFmtId="165" fontId="0" fillId="0" borderId="12" xfId="0" applyNumberForma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14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0" fillId="0" borderId="21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2" fontId="0" fillId="0" borderId="0" xfId="0" quotePrefix="1" applyNumberFormat="1" applyAlignment="1">
      <alignment horizontal="center" vertical="center"/>
    </xf>
    <xf numFmtId="0" fontId="1" fillId="9" borderId="0" xfId="0" applyFont="1" applyFill="1"/>
    <xf numFmtId="0" fontId="0" fillId="8" borderId="0" xfId="0" applyFill="1" applyAlignment="1">
      <alignment horizontal="center"/>
    </xf>
    <xf numFmtId="0" fontId="0" fillId="8" borderId="19" xfId="0" applyFill="1" applyBorder="1" applyAlignment="1">
      <alignment horizontal="center" vertical="center" wrapText="1"/>
    </xf>
    <xf numFmtId="0" fontId="0" fillId="8" borderId="19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/>
    </xf>
    <xf numFmtId="0" fontId="0" fillId="8" borderId="25" xfId="0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0" fillId="21" borderId="11" xfId="0" applyFill="1" applyBorder="1" applyAlignment="1">
      <alignment horizontal="center" vertical="center" wrapText="1"/>
    </xf>
    <xf numFmtId="0" fontId="1" fillId="11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19" borderId="0" xfId="0" applyFill="1"/>
    <xf numFmtId="0" fontId="0" fillId="22" borderId="0" xfId="0" applyFill="1"/>
    <xf numFmtId="0" fontId="0" fillId="17" borderId="0" xfId="0" applyFill="1"/>
    <xf numFmtId="165" fontId="0" fillId="0" borderId="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4" xfId="0" applyBorder="1"/>
    <xf numFmtId="0" fontId="0" fillId="18" borderId="14" xfId="0" applyFill="1" applyBorder="1"/>
    <xf numFmtId="0" fontId="0" fillId="18" borderId="15" xfId="0" applyFill="1" applyBorder="1"/>
    <xf numFmtId="0" fontId="0" fillId="19" borderId="1" xfId="0" applyFill="1" applyBorder="1"/>
    <xf numFmtId="0" fontId="0" fillId="0" borderId="0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165" fontId="0" fillId="0" borderId="0" xfId="0" applyNumberFormat="1"/>
    <xf numFmtId="0" fontId="0" fillId="0" borderId="2" xfId="0" applyFill="1" applyBorder="1"/>
    <xf numFmtId="0" fontId="0" fillId="0" borderId="27" xfId="0" applyBorder="1"/>
    <xf numFmtId="0" fontId="0" fillId="19" borderId="17" xfId="0" applyFill="1" applyBorder="1" applyAlignment="1">
      <alignment horizontal="center" vertical="center"/>
    </xf>
    <xf numFmtId="0" fontId="0" fillId="19" borderId="17" xfId="0" applyFill="1" applyBorder="1" applyAlignment="1">
      <alignment horizontal="center"/>
    </xf>
    <xf numFmtId="0" fontId="0" fillId="19" borderId="28" xfId="0" applyFill="1" applyBorder="1"/>
    <xf numFmtId="0" fontId="0" fillId="0" borderId="29" xfId="0" applyFill="1" applyBorder="1"/>
    <xf numFmtId="0" fontId="0" fillId="0" borderId="30" xfId="0" applyBorder="1"/>
    <xf numFmtId="0" fontId="0" fillId="18" borderId="29" xfId="0" applyFill="1" applyBorder="1"/>
    <xf numFmtId="165" fontId="0" fillId="0" borderId="31" xfId="0" applyNumberFormat="1" applyBorder="1" applyAlignment="1">
      <alignment horizontal="center"/>
    </xf>
    <xf numFmtId="0" fontId="0" fillId="0" borderId="32" xfId="0" applyBorder="1"/>
    <xf numFmtId="0" fontId="0" fillId="18" borderId="33" xfId="0" applyFill="1" applyBorder="1" applyAlignment="1">
      <alignment horizontal="center"/>
    </xf>
    <xf numFmtId="0" fontId="0" fillId="0" borderId="16" xfId="0" applyBorder="1"/>
    <xf numFmtId="165" fontId="0" fillId="0" borderId="34" xfId="0" applyNumberFormat="1" applyBorder="1" applyAlignment="1">
      <alignment horizontal="center"/>
    </xf>
    <xf numFmtId="0" fontId="0" fillId="19" borderId="35" xfId="0" applyFill="1" applyBorder="1"/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20" borderId="26" xfId="0" applyFill="1" applyBorder="1"/>
    <xf numFmtId="0" fontId="0" fillId="3" borderId="0" xfId="0" applyFill="1"/>
    <xf numFmtId="0" fontId="0" fillId="6" borderId="0" xfId="0" applyFill="1"/>
    <xf numFmtId="2" fontId="0" fillId="0" borderId="17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37" xfId="0" applyNumberFormat="1" applyBorder="1" applyAlignment="1">
      <alignment horizontal="center"/>
    </xf>
    <xf numFmtId="2" fontId="0" fillId="0" borderId="15" xfId="0" applyNumberFormat="1" applyBorder="1" applyAlignment="1">
      <alignment horizontal="left"/>
    </xf>
    <xf numFmtId="0" fontId="0" fillId="13" borderId="1" xfId="0" applyFill="1" applyBorder="1" applyAlignment="1">
      <alignment horizontal="center"/>
    </xf>
    <xf numFmtId="0" fontId="0" fillId="16" borderId="0" xfId="0" applyFill="1"/>
    <xf numFmtId="2" fontId="0" fillId="6" borderId="0" xfId="0" applyNumberFormat="1" applyFill="1" applyAlignment="1">
      <alignment horizontal="center"/>
    </xf>
    <xf numFmtId="0" fontId="0" fillId="16" borderId="1" xfId="0" applyFill="1" applyBorder="1"/>
    <xf numFmtId="165" fontId="0" fillId="16" borderId="1" xfId="0" applyNumberFormat="1" applyFill="1" applyBorder="1"/>
    <xf numFmtId="165" fontId="0" fillId="16" borderId="1" xfId="0" applyNumberFormat="1" applyFill="1" applyBorder="1" applyAlignment="1">
      <alignment horizontal="center"/>
    </xf>
    <xf numFmtId="0" fontId="0" fillId="22" borderId="0" xfId="0" applyFill="1" applyAlignment="1">
      <alignment horizontal="center"/>
    </xf>
    <xf numFmtId="2" fontId="0" fillId="0" borderId="12" xfId="0" applyNumberFormat="1" applyBorder="1"/>
    <xf numFmtId="2" fontId="0" fillId="0" borderId="13" xfId="0" applyNumberFormat="1" applyBorder="1"/>
    <xf numFmtId="0" fontId="0" fillId="19" borderId="0" xfId="0" applyFill="1" applyAlignment="1">
      <alignment horizontal="center"/>
    </xf>
    <xf numFmtId="2" fontId="0" fillId="0" borderId="0" xfId="0" applyNumberFormat="1" applyFill="1"/>
    <xf numFmtId="165" fontId="0" fillId="22" borderId="0" xfId="0" applyNumberFormat="1" applyFill="1"/>
    <xf numFmtId="0" fontId="8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11" borderId="13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/>
    </xf>
    <xf numFmtId="165" fontId="0" fillId="22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9" borderId="1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0" fillId="0" borderId="30" xfId="0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0" fontId="0" fillId="18" borderId="38" xfId="0" applyFill="1" applyBorder="1"/>
    <xf numFmtId="0" fontId="0" fillId="18" borderId="16" xfId="0" applyFill="1" applyBorder="1"/>
    <xf numFmtId="0" fontId="0" fillId="18" borderId="39" xfId="0" applyFill="1" applyBorder="1"/>
    <xf numFmtId="2" fontId="0" fillId="0" borderId="11" xfId="0" applyNumberForma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28" xfId="0" applyBorder="1" applyAlignment="1">
      <alignment horizontal="center"/>
    </xf>
    <xf numFmtId="2" fontId="0" fillId="0" borderId="40" xfId="0" applyNumberFormat="1" applyBorder="1" applyAlignment="1">
      <alignment horizontal="center"/>
    </xf>
    <xf numFmtId="2" fontId="0" fillId="0" borderId="41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2" fontId="0" fillId="0" borderId="40" xfId="0" applyNumberFormat="1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0" fontId="0" fillId="0" borderId="45" xfId="0" applyFill="1" applyBorder="1"/>
    <xf numFmtId="0" fontId="0" fillId="19" borderId="36" xfId="0" applyFill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11" borderId="1" xfId="0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0" fillId="0" borderId="0" xfId="0" applyNumberFormat="1" applyBorder="1" applyAlignment="1">
      <alignment horizontal="center"/>
    </xf>
    <xf numFmtId="0" fontId="0" fillId="19" borderId="27" xfId="0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46" xfId="0" applyBorder="1"/>
    <xf numFmtId="0" fontId="0" fillId="0" borderId="47" xfId="0" applyBorder="1"/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19" borderId="2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0" xfId="0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on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1" xfId="0" applyBorder="1" applyAlignment="1">
      <alignment horizontal="center"/>
    </xf>
    <xf numFmtId="1" fontId="0" fillId="0" borderId="55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53" xfId="0" applyNumberFormat="1" applyBorder="1" applyAlignment="1">
      <alignment horizontal="center"/>
    </xf>
    <xf numFmtId="1" fontId="0" fillId="0" borderId="56" xfId="0" applyNumberFormat="1" applyBorder="1" applyAlignment="1">
      <alignment horizontal="center"/>
    </xf>
    <xf numFmtId="1" fontId="0" fillId="0" borderId="58" xfId="0" applyNumberFormat="1" applyBorder="1" applyAlignment="1">
      <alignment horizontal="center"/>
    </xf>
    <xf numFmtId="1" fontId="0" fillId="0" borderId="60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23" borderId="0" xfId="0" applyFill="1"/>
    <xf numFmtId="0" fontId="0" fillId="23" borderId="0" xfId="0" applyFill="1" applyAlignment="1">
      <alignment horizontal="center"/>
    </xf>
    <xf numFmtId="0" fontId="0" fillId="16" borderId="46" xfId="0" applyFill="1" applyBorder="1"/>
    <xf numFmtId="0" fontId="0" fillId="0" borderId="62" xfId="0" applyBorder="1"/>
    <xf numFmtId="0" fontId="0" fillId="0" borderId="64" xfId="0" applyBorder="1"/>
    <xf numFmtId="0" fontId="0" fillId="0" borderId="63" xfId="0" applyBorder="1" applyAlignment="1">
      <alignment horizontal="center"/>
    </xf>
    <xf numFmtId="0" fontId="0" fillId="0" borderId="37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13" borderId="10" xfId="0" applyFill="1" applyBorder="1" applyAlignment="1">
      <alignment horizontal="center" vertical="center" wrapText="1"/>
    </xf>
    <xf numFmtId="0" fontId="0" fillId="13" borderId="15" xfId="0" applyFill="1" applyBorder="1" applyAlignment="1">
      <alignment horizontal="center" vertical="center" wrapText="1"/>
    </xf>
    <xf numFmtId="0" fontId="0" fillId="16" borderId="27" xfId="0" applyFill="1" applyBorder="1" applyAlignment="1">
      <alignment horizontal="center"/>
    </xf>
    <xf numFmtId="1" fontId="0" fillId="0" borderId="0" xfId="0" applyNumberForma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Spettri%20NORCIA%20con%20Sd%202015_CD_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MANSARDA/Rigidezza_60X30_1_PERIMETRAL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MANSARDA/Rigidezza_60X30_A%20SPESSORE_PERIMETRALE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MANSARDA/Rigidezza_30X60_2_EMERGENTI_SPINA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MANSARDA/Rigidezza_30X60_1_EMERGENTE_SPINA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MANSARDA/Rigidezza_60X30_2_EMERGENTI_SPINA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MANSARDA/Rigidezza_60X30_1_EMERGENTE_SPIN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I_IMPALCATO/Rigidezza_30X80_2_EMERGENTI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I_IMPALCATO/Rigidezza_30X80_1_EMERGENTE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I_IMPALCATO/Rigidezza_80X30_2_EMERGENTI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I_IMPALCATO/Rigidezza_80X30_1_EMERGEN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PIANO%20TIPO/Rigidezza_30X80_2_EMERGENTI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I_IMPALCATO/Rigidezza_80X30_A%20SPESSORE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IV_IMPALCATO/Rigidezza_30X70_2_EMERGENTI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IV_IMPALCATO/Rigidezza_30X70_1_EMERGENTE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IV_IMPALCATO/Rigidezza_70X30_2_EMERGENTI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IV_IMPALCATO/Rigidezza_70X30_1_EMERGENTE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IV_IMPALCATO/Rigidezza_70X30_A%20SPESSO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PIANO%20TIPO/Rigidezza_30X80_1_EMERGENT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PIANO%20TIPO/Rigidezza_80X30_2_EMERGENT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PIANO%20TIPO/Rigidezza_80X30_1_EMERGENT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PIANO%20TIPO/Rigidezza_80X30_A%20SPESSOR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MANSARDA/Rigidezza_30X60_2_PERIMETRAL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MANSARDA/Rigidezza_30X60_1_PERIMETRAL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&amp;Mario/Desktop/magistrale/II%20anno/sismica/progetto/excel/RIGIDEZZE/MANSARDA/Rigidezza_60X30_2_PERIMETR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0.13750758254727657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34.161908561200633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51.839007792812737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6">
          <cell r="L6">
            <v>16.59149395437851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6">
          <cell r="L6">
            <v>10.132981687886938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33.42611910409844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6.2847016004594005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48.867936389641606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38.94891830769609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10.274221996802151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9.3702033077977873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44.353458944316451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5.9706076846794938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33.02902794953232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20.357442542018848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12.526983434807791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10.087699986645456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4.4188022540901484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26.549948533385056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14.719701369009202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12.040234408191751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4.5712129677330404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6">
          <cell r="L6">
            <v>83.348974814285228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6">
          <cell r="L6">
            <v>47.639485616979769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51.839007792812737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F4" sqref="F4"/>
    </sheetView>
  </sheetViews>
  <sheetFormatPr defaultRowHeight="15" x14ac:dyDescent="0.25"/>
  <sheetData>
    <row r="1" spans="1:3" x14ac:dyDescent="0.25">
      <c r="A1" t="s">
        <v>90</v>
      </c>
      <c r="C1">
        <v>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8"/>
  <sheetViews>
    <sheetView workbookViewId="0">
      <selection activeCell="D27" sqref="D27"/>
    </sheetView>
  </sheetViews>
  <sheetFormatPr defaultRowHeight="15" x14ac:dyDescent="0.25"/>
  <cols>
    <col min="1" max="1" width="18" customWidth="1"/>
    <col min="2" max="2" width="18.140625" customWidth="1"/>
    <col min="3" max="3" width="18.42578125" customWidth="1"/>
    <col min="4" max="4" width="18" customWidth="1"/>
    <col min="5" max="5" width="18.42578125" customWidth="1"/>
  </cols>
  <sheetData>
    <row r="3" spans="1:15" x14ac:dyDescent="0.25">
      <c r="A3" s="44" t="s">
        <v>119</v>
      </c>
      <c r="B3" s="218" t="s">
        <v>145</v>
      </c>
      <c r="C3" s="2" t="s">
        <v>146</v>
      </c>
      <c r="D3" s="2" t="s">
        <v>147</v>
      </c>
      <c r="E3" s="2" t="s">
        <v>148</v>
      </c>
      <c r="F3" s="2" t="s">
        <v>149</v>
      </c>
      <c r="G3" s="2" t="s">
        <v>150</v>
      </c>
      <c r="J3" s="2" t="s">
        <v>151</v>
      </c>
      <c r="K3" s="2" t="s">
        <v>152</v>
      </c>
      <c r="L3" s="2" t="s">
        <v>153</v>
      </c>
      <c r="N3" s="219" t="s">
        <v>154</v>
      </c>
      <c r="O3" s="219" t="s">
        <v>155</v>
      </c>
    </row>
    <row r="4" spans="1:15" x14ac:dyDescent="0.25">
      <c r="A4" s="44" t="s">
        <v>22</v>
      </c>
      <c r="B4" s="3">
        <f>' RIGIDEZZE_X'!P33</f>
        <v>980.26836045572406</v>
      </c>
      <c r="C4" s="3">
        <f>' RIGIDEZZE_Y'!P38</f>
        <v>741.24347777537878</v>
      </c>
      <c r="D4" s="3">
        <f>' RIGIDEZZE_Y'!R38</f>
        <v>13.204512754767327</v>
      </c>
      <c r="E4" s="3">
        <f>' RIGIDEZZE_X'!T23</f>
        <v>5.9028034539923011</v>
      </c>
      <c r="F4" s="2"/>
      <c r="G4" s="2"/>
      <c r="J4" s="2">
        <v>14.36</v>
      </c>
      <c r="K4" s="2">
        <v>6.34</v>
      </c>
      <c r="N4" s="4">
        <f>$J4-$D4</f>
        <v>1.1554872452326723</v>
      </c>
      <c r="O4" s="4">
        <f>$K4-$E4</f>
        <v>0.43719654600769875</v>
      </c>
    </row>
    <row r="5" spans="1:15" x14ac:dyDescent="0.25">
      <c r="A5" s="44">
        <v>4</v>
      </c>
      <c r="B5" s="3">
        <f>' RIGIDEZZE_X'!P65</f>
        <v>393.00792116653167</v>
      </c>
      <c r="C5" s="3">
        <f>' RIGIDEZZE_Y'!P81</f>
        <v>341.25352662674055</v>
      </c>
      <c r="D5" s="3">
        <f>' RIGIDEZZE_Y'!R81</f>
        <v>14.001027786744375</v>
      </c>
      <c r="E5" s="3">
        <f>' RIGIDEZZE_X'!T54</f>
        <v>5.9115490445859429</v>
      </c>
      <c r="F5" s="2"/>
      <c r="G5" s="2"/>
      <c r="J5" s="2">
        <v>14.03</v>
      </c>
      <c r="K5" s="2">
        <v>5.65</v>
      </c>
      <c r="N5" s="4">
        <f t="shared" ref="N5:N7" si="0">$J5-$D5</f>
        <v>2.8972213255624268E-2</v>
      </c>
      <c r="O5" s="4">
        <f>$K5-$E5</f>
        <v>-0.26154904458594253</v>
      </c>
    </row>
    <row r="6" spans="1:15" x14ac:dyDescent="0.25">
      <c r="A6" s="44">
        <v>3</v>
      </c>
      <c r="B6" s="3">
        <f>' RIGIDEZZE_X'!P17</f>
        <v>507.44259325036569</v>
      </c>
      <c r="C6" s="3">
        <f>' RIGIDEZZE_Y'!P19</f>
        <v>435.80022285091593</v>
      </c>
      <c r="D6" s="3">
        <f>' RIGIDEZZE_Y'!R19</f>
        <v>13.951363982588953</v>
      </c>
      <c r="E6" s="3">
        <f>' RIGIDEZZE_X'!T7</f>
        <v>5.9315174819962957</v>
      </c>
      <c r="F6" s="2"/>
      <c r="G6" s="2"/>
      <c r="J6" s="2">
        <v>14.03</v>
      </c>
      <c r="K6" s="2">
        <v>5.65</v>
      </c>
      <c r="N6" s="4">
        <f t="shared" si="0"/>
        <v>7.8636017411046311E-2</v>
      </c>
      <c r="O6" s="4">
        <f>$K6-$E6</f>
        <v>-0.28151748199629534</v>
      </c>
    </row>
    <row r="7" spans="1:15" x14ac:dyDescent="0.25">
      <c r="A7" s="44">
        <v>2</v>
      </c>
      <c r="B7" s="3">
        <f>' RIGIDEZZE_X'!P17</f>
        <v>507.44259325036569</v>
      </c>
      <c r="C7" s="3">
        <f>' RIGIDEZZE_Y'!P19</f>
        <v>435.80022285091593</v>
      </c>
      <c r="D7" s="3">
        <f>' RIGIDEZZE_Y'!R19</f>
        <v>13.951363982588953</v>
      </c>
      <c r="E7" s="3">
        <f>' RIGIDEZZE_X'!T7</f>
        <v>5.9315174819962957</v>
      </c>
      <c r="F7" s="2"/>
      <c r="G7" s="2"/>
      <c r="J7" s="2">
        <v>14.03</v>
      </c>
      <c r="K7" s="2">
        <v>5.65</v>
      </c>
      <c r="N7" s="4">
        <f t="shared" si="0"/>
        <v>7.8636017411046311E-2</v>
      </c>
      <c r="O7" s="4">
        <f>$K7-$E7</f>
        <v>-0.28151748199629534</v>
      </c>
    </row>
    <row r="8" spans="1:15" x14ac:dyDescent="0.25">
      <c r="A8" s="44">
        <v>1</v>
      </c>
      <c r="B8" s="3">
        <f>' RIGIDEZZE_X'!P49</f>
        <v>552.9795466434141</v>
      </c>
      <c r="C8" s="3">
        <f>' RIGIDEZZE_Y'!P59</f>
        <v>536.08299806929369</v>
      </c>
      <c r="D8" s="3">
        <f>' RIGIDEZZE_Y'!R59</f>
        <v>14.041611736097435</v>
      </c>
      <c r="E8" s="3">
        <f>' RIGIDEZZE_X'!T38</f>
        <v>5.8719068166895152</v>
      </c>
      <c r="J8" s="225">
        <v>14.03</v>
      </c>
      <c r="K8" s="225">
        <v>5.65</v>
      </c>
      <c r="N8" s="4">
        <f>J8-D8</f>
        <v>-1.161173609743571E-2</v>
      </c>
      <c r="O8" s="4">
        <f>K8-E8</f>
        <v>-0.22190681668951484</v>
      </c>
    </row>
    <row r="12" spans="1:15" s="200" customFormat="1" x14ac:dyDescent="0.25">
      <c r="A12" s="200" t="s">
        <v>177</v>
      </c>
    </row>
    <row r="13" spans="1:15" ht="15.75" thickBot="1" x14ac:dyDescent="0.3"/>
    <row r="14" spans="1:15" x14ac:dyDescent="0.25">
      <c r="A14" s="195" t="s">
        <v>107</v>
      </c>
      <c r="B14" s="183"/>
      <c r="C14" s="183"/>
      <c r="D14" s="237" t="s">
        <v>178</v>
      </c>
      <c r="E14" s="238" t="s">
        <v>179</v>
      </c>
    </row>
    <row r="15" spans="1:15" x14ac:dyDescent="0.25">
      <c r="A15" s="187"/>
      <c r="B15" s="14"/>
      <c r="C15" s="14"/>
      <c r="D15" s="27"/>
      <c r="E15" s="228"/>
    </row>
    <row r="16" spans="1:15" x14ac:dyDescent="0.25">
      <c r="A16" s="189" t="s">
        <v>156</v>
      </c>
      <c r="B16" s="176"/>
      <c r="C16" s="177"/>
      <c r="D16" s="63">
        <f>('approccio per tipologia di P'!$D73/'approccio per tipologia di P'!$B63)*'approccio per tipologia di P'!$D9</f>
        <v>24.01035999766227</v>
      </c>
      <c r="E16" s="239">
        <f>('approccio per tipologia di P'!$D86/'approccio per tipologia di P'!$C63)*'approccio per tipologia di P'!$K9</f>
        <v>32.512368256015876</v>
      </c>
    </row>
    <row r="17" spans="1:5" x14ac:dyDescent="0.25">
      <c r="A17" s="189" t="s">
        <v>157</v>
      </c>
      <c r="B17" s="176"/>
      <c r="C17" s="177"/>
      <c r="D17" s="46">
        <f>('approccio per tipologia di P'!$D74/'approccio per tipologia di P'!$B64)*'approccio per tipologia di P'!$D10</f>
        <v>64.427617922096019</v>
      </c>
      <c r="E17" s="240">
        <f>('approccio per tipologia di P'!$D87/'approccio per tipologia di P'!$C64)*'approccio per tipologia di P'!$K10</f>
        <v>74.198688686285422</v>
      </c>
    </row>
    <row r="18" spans="1:5" x14ac:dyDescent="0.25">
      <c r="A18" s="189" t="s">
        <v>158</v>
      </c>
      <c r="B18" s="176"/>
      <c r="C18" s="177"/>
      <c r="D18" s="46">
        <f>('approccio per tipologia di P'!$D75/'approccio per tipologia di P'!$B65)*'approccio per tipologia di P'!$D11</f>
        <v>37.602932784633111</v>
      </c>
      <c r="E18" s="240">
        <f>('approccio per tipologia di P'!$D88/'approccio per tipologia di P'!$C65)*'approccio per tipologia di P'!$K11</f>
        <v>43.784580010600422</v>
      </c>
    </row>
    <row r="19" spans="1:5" x14ac:dyDescent="0.25">
      <c r="A19" s="189" t="s">
        <v>159</v>
      </c>
      <c r="B19" s="176"/>
      <c r="C19" s="177"/>
      <c r="D19" s="46">
        <f>('approccio per tipologia di P'!$D76/'approccio per tipologia di P'!$B66)*'approccio per tipologia di P'!$D12</f>
        <v>36.177547936357634</v>
      </c>
      <c r="E19" s="240">
        <f>('approccio per tipologia di P'!$D89/'approccio per tipologia di P'!$C66)*'approccio per tipologia di P'!$K12</f>
        <v>42.124872314590071</v>
      </c>
    </row>
    <row r="20" spans="1:5" x14ac:dyDescent="0.25">
      <c r="A20" s="189" t="s">
        <v>160</v>
      </c>
      <c r="B20" s="176"/>
      <c r="C20" s="177"/>
      <c r="D20" s="48">
        <f>('approccio per tipologia di P'!$D77/'approccio per tipologia di P'!$B67)*'approccio per tipologia di P'!$D13</f>
        <v>13.548230233930472</v>
      </c>
      <c r="E20" s="241">
        <f>('approccio per tipologia di P'!$D90/'approccio per tipologia di P'!$C67)*'approccio per tipologia di P'!$K13</f>
        <v>13.975250548071047</v>
      </c>
    </row>
    <row r="21" spans="1:5" x14ac:dyDescent="0.25">
      <c r="A21" s="191"/>
      <c r="B21" s="14"/>
      <c r="C21" s="14"/>
      <c r="D21" s="14"/>
      <c r="E21" s="188"/>
    </row>
    <row r="22" spans="1:5" x14ac:dyDescent="0.25">
      <c r="A22" s="191"/>
      <c r="B22" s="14"/>
      <c r="C22" s="14"/>
      <c r="D22" s="14"/>
      <c r="E22" s="188"/>
    </row>
    <row r="23" spans="1:5" x14ac:dyDescent="0.25">
      <c r="A23" s="229"/>
      <c r="B23" s="14"/>
      <c r="C23" s="14"/>
      <c r="D23" s="14"/>
      <c r="E23" s="188"/>
    </row>
    <row r="24" spans="1:5" x14ac:dyDescent="0.25">
      <c r="A24" s="249" t="s">
        <v>116</v>
      </c>
      <c r="B24" s="252"/>
      <c r="C24" s="251"/>
      <c r="D24" s="44" t="s">
        <v>178</v>
      </c>
      <c r="E24" s="242" t="s">
        <v>179</v>
      </c>
    </row>
    <row r="25" spans="1:5" x14ac:dyDescent="0.25">
      <c r="A25" s="248"/>
      <c r="B25" s="14"/>
      <c r="C25" s="14"/>
      <c r="D25" s="230"/>
      <c r="E25" s="231"/>
    </row>
    <row r="26" spans="1:5" x14ac:dyDescent="0.25">
      <c r="A26" s="189" t="s">
        <v>168</v>
      </c>
      <c r="B26" s="176"/>
      <c r="C26" s="177"/>
      <c r="D26" s="236">
        <f>('approccio per tipologia di P'!D73/'approccio per tipologia di P'!$B63)*'approccio per tipologia di P'!$D20</f>
        <v>45.120244020641763</v>
      </c>
      <c r="E26" s="243">
        <f>('approccio per tipologia di P'!$D86/'approccio per tipologia di P'!$C63)*'approccio per tipologia di P'!$K20</f>
        <v>61.097209268966893</v>
      </c>
    </row>
    <row r="27" spans="1:5" x14ac:dyDescent="0.25">
      <c r="A27" s="189" t="s">
        <v>169</v>
      </c>
      <c r="B27" s="176"/>
      <c r="C27" s="177"/>
      <c r="D27" s="125">
        <f>('approccio per tipologia di P'!D74/'approccio per tipologia di P'!$B64)*'approccio per tipologia di P'!$D21</f>
        <v>115.60469028693191</v>
      </c>
      <c r="E27" s="244">
        <f>('approccio per tipologia di P'!$D87/'approccio per tipologia di P'!$C64)*'approccio per tipologia di P'!$K21</f>
        <v>133.13725855341147</v>
      </c>
    </row>
    <row r="28" spans="1:5" x14ac:dyDescent="0.25">
      <c r="A28" s="189" t="s">
        <v>170</v>
      </c>
      <c r="B28" s="176"/>
      <c r="C28" s="177"/>
      <c r="D28" s="125">
        <f>('approccio per tipologia di P'!D75/'approccio per tipologia di P'!$B65)*'approccio per tipologia di P'!$D22</f>
        <v>132.42787178816377</v>
      </c>
      <c r="E28" s="244">
        <f>('approccio per tipologia di P'!$D88/'approccio per tipologia di P'!$C65)*'approccio per tipologia di P'!$K22</f>
        <v>154.19804569902948</v>
      </c>
    </row>
    <row r="29" spans="1:5" x14ac:dyDescent="0.25">
      <c r="A29" s="189" t="s">
        <v>171</v>
      </c>
      <c r="B29" s="176"/>
      <c r="C29" s="177"/>
      <c r="D29" s="125">
        <f>('approccio per tipologia di P'!D76/'approccio per tipologia di P'!$B66)*'approccio per tipologia di P'!$D23</f>
        <v>102.64701189948956</v>
      </c>
      <c r="E29" s="244">
        <f>('approccio per tipologia di P'!$D89/'approccio per tipologia di P'!$C66)*'approccio per tipologia di P'!$K23</f>
        <v>119.52143017948126</v>
      </c>
    </row>
    <row r="30" spans="1:5" x14ac:dyDescent="0.25">
      <c r="A30" s="189" t="s">
        <v>172</v>
      </c>
      <c r="B30" s="176"/>
      <c r="C30" s="177"/>
      <c r="D30" s="149">
        <f>('approccio per tipologia di P'!D77/'approccio per tipologia di P'!$B67)*'approccio per tipologia di P'!$D24</f>
        <v>153.64123650179471</v>
      </c>
      <c r="E30" s="245">
        <f>('approccio per tipologia di P'!$D90/'approccio per tipologia di P'!$C67)*'approccio per tipologia di P'!$K24</f>
        <v>158.48378257188088</v>
      </c>
    </row>
    <row r="31" spans="1:5" x14ac:dyDescent="0.25">
      <c r="A31" s="191"/>
      <c r="B31" s="14"/>
      <c r="C31" s="14"/>
      <c r="D31" s="14"/>
      <c r="E31" s="232"/>
    </row>
    <row r="32" spans="1:5" x14ac:dyDescent="0.25">
      <c r="A32" s="191"/>
      <c r="B32" s="14"/>
      <c r="C32" s="14"/>
      <c r="D32" s="14"/>
      <c r="E32" s="188"/>
    </row>
    <row r="33" spans="1:5" x14ac:dyDescent="0.25">
      <c r="A33" s="249" t="s">
        <v>118</v>
      </c>
      <c r="B33" s="250"/>
      <c r="C33" s="251"/>
      <c r="D33" s="44" t="s">
        <v>178</v>
      </c>
      <c r="E33" s="242" t="s">
        <v>179</v>
      </c>
    </row>
    <row r="34" spans="1:5" x14ac:dyDescent="0.25">
      <c r="A34" s="187"/>
      <c r="B34" s="14"/>
      <c r="C34" s="14"/>
      <c r="D34" s="14"/>
      <c r="E34" s="188"/>
    </row>
    <row r="35" spans="1:5" x14ac:dyDescent="0.25">
      <c r="A35" s="189" t="s">
        <v>156</v>
      </c>
      <c r="B35" s="176"/>
      <c r="C35" s="177"/>
      <c r="D35" s="63">
        <f>('approccio per tipologia di P'!$D73/'approccio per tipologia di P'!$B63)*'approccio per tipologia di P'!$D41</f>
        <v>26.454233175618182</v>
      </c>
      <c r="E35" s="239">
        <f>('approccio per tipologia di P'!$D86/'approccio per tipologia di P'!$C63)*'approccio per tipologia di P'!$K41</f>
        <v>35.82161079717055</v>
      </c>
    </row>
    <row r="36" spans="1:5" x14ac:dyDescent="0.25">
      <c r="A36" s="189" t="s">
        <v>157</v>
      </c>
      <c r="B36" s="176"/>
      <c r="C36" s="177"/>
      <c r="D36" s="46">
        <f>('approccio per tipologia di P'!$D74/'approccio per tipologia di P'!$B64)*'approccio per tipologia di P'!$D42</f>
        <v>94.515664467362853</v>
      </c>
      <c r="E36" s="240">
        <f>('approccio per tipologia di P'!$D87/'approccio per tipologia di P'!$C64)*'approccio per tipologia di P'!$K42</f>
        <v>108.84987820395756</v>
      </c>
    </row>
    <row r="37" spans="1:5" x14ac:dyDescent="0.25">
      <c r="A37" s="189" t="s">
        <v>158</v>
      </c>
      <c r="B37" s="176"/>
      <c r="C37" s="177"/>
      <c r="D37" s="46">
        <f>('approccio per tipologia di P'!$D75/'approccio per tipologia di P'!$B65)*'approccio per tipologia di P'!$D43</f>
        <v>26.246516112993348</v>
      </c>
      <c r="E37" s="240">
        <f>('approccio per tipologia di P'!$D88/'approccio per tipologia di P'!$C65)*'approccio per tipologia di P'!$K43</f>
        <v>30.561251467558446</v>
      </c>
    </row>
    <row r="38" spans="1:5" x14ac:dyDescent="0.25">
      <c r="A38" s="189" t="s">
        <v>159</v>
      </c>
      <c r="B38" s="176"/>
      <c r="C38" s="177"/>
      <c r="D38" s="46">
        <f>('approccio per tipologia di P'!$D76/'approccio per tipologia di P'!$B66)*'approccio per tipologia di P'!$D44</f>
        <v>28.154848805155638</v>
      </c>
      <c r="E38" s="240">
        <f>('approccio per tipologia di P'!$D89/'approccio per tipologia di P'!$C66)*'approccio per tipologia di P'!$K44</f>
        <v>32.783300102046077</v>
      </c>
    </row>
    <row r="39" spans="1:5" x14ac:dyDescent="0.25">
      <c r="A39" s="189" t="s">
        <v>160</v>
      </c>
      <c r="B39" s="176"/>
      <c r="C39" s="177"/>
      <c r="D39" s="48">
        <f>('approccio per tipologia di P'!$D77/'approccio per tipologia di P'!$B67)*'approccio per tipologia di P'!$D45</f>
        <v>17.69577749264829</v>
      </c>
      <c r="E39" s="241">
        <f>('approccio per tipologia di P'!$D90/'approccio per tipologia di P'!$C67)*'approccio per tipologia di P'!$K45</f>
        <v>18.253522403488958</v>
      </c>
    </row>
    <row r="40" spans="1:5" x14ac:dyDescent="0.25">
      <c r="A40" s="191"/>
      <c r="B40" s="14"/>
      <c r="C40" s="14"/>
      <c r="D40" s="14"/>
      <c r="E40" s="188"/>
    </row>
    <row r="41" spans="1:5" x14ac:dyDescent="0.25">
      <c r="A41" s="191"/>
      <c r="B41" s="14"/>
      <c r="C41" s="14"/>
      <c r="D41" s="14"/>
      <c r="E41" s="188"/>
    </row>
    <row r="42" spans="1:5" x14ac:dyDescent="0.25">
      <c r="A42" s="249" t="s">
        <v>167</v>
      </c>
      <c r="B42" s="250"/>
      <c r="C42" s="251"/>
      <c r="D42" s="44" t="s">
        <v>178</v>
      </c>
      <c r="E42" s="242" t="s">
        <v>179</v>
      </c>
    </row>
    <row r="43" spans="1:5" x14ac:dyDescent="0.25">
      <c r="A43" s="187"/>
      <c r="B43" s="14"/>
      <c r="C43" s="14"/>
      <c r="D43" s="14"/>
      <c r="E43" s="188"/>
    </row>
    <row r="44" spans="1:5" x14ac:dyDescent="0.25">
      <c r="A44" s="189" t="s">
        <v>108</v>
      </c>
      <c r="B44" s="176"/>
      <c r="C44" s="177"/>
      <c r="D44" s="63">
        <f>('approccio per tipologia di P'!$D73/'approccio per tipologia di P'!$B63)*'approccio per tipologia di P'!$D52</f>
        <v>17.879977578225422</v>
      </c>
      <c r="E44" s="239">
        <f>('approccio per tipologia di P'!D86/'approccio per tipologia di P'!$C63)*'approccio per tipologia di P'!$K52</f>
        <v>24.211232796558281</v>
      </c>
    </row>
    <row r="45" spans="1:5" x14ac:dyDescent="0.25">
      <c r="A45" s="189" t="s">
        <v>109</v>
      </c>
      <c r="B45" s="176"/>
      <c r="C45" s="177"/>
      <c r="D45" s="46">
        <f>('approccio per tipologia di P'!$D74/'approccio per tipologia di P'!$B64)*'approccio per tipologia di P'!$D53</f>
        <v>49.40053003564109</v>
      </c>
      <c r="E45" s="240">
        <f>('approccio per tipologia di P'!D87/'approccio per tipologia di P'!$C64)*'approccio per tipologia di P'!$K53</f>
        <v>56.892597728573257</v>
      </c>
    </row>
    <row r="46" spans="1:5" x14ac:dyDescent="0.25">
      <c r="A46" s="189" t="s">
        <v>110</v>
      </c>
      <c r="B46" s="176"/>
      <c r="C46" s="177"/>
      <c r="D46" s="46">
        <f>('approccio per tipologia di P'!$D75/'approccio per tipologia di P'!$B65)*'approccio per tipologia di P'!$D54</f>
        <v>32.001417982910937</v>
      </c>
      <c r="E46" s="240">
        <f>('approccio per tipologia di P'!D88/'approccio per tipologia di P'!$C65)*'approccio per tipologia di P'!$K54</f>
        <v>37.262217129458456</v>
      </c>
    </row>
    <row r="47" spans="1:5" x14ac:dyDescent="0.25">
      <c r="A47" s="189" t="s">
        <v>111</v>
      </c>
      <c r="B47" s="176"/>
      <c r="C47" s="177"/>
      <c r="D47" s="46">
        <f>('approccio per tipologia di P'!$D76/'approccio per tipologia di P'!$B66)*'approccio per tipologia di P'!$D55</f>
        <v>30.310726308298644</v>
      </c>
      <c r="E47" s="240">
        <f>('approccio per tipologia di P'!D89/'approccio per tipologia di P'!$C66)*'approccio per tipologia di P'!$K55</f>
        <v>35.293588104581715</v>
      </c>
    </row>
    <row r="48" spans="1:5" ht="15.75" thickBot="1" x14ac:dyDescent="0.3">
      <c r="A48" s="233" t="s">
        <v>112</v>
      </c>
      <c r="B48" s="234"/>
      <c r="C48" s="235"/>
      <c r="D48" s="246">
        <f>('approccio per tipologia di P'!$D77/'approccio per tipologia di P'!$B67)*'approccio per tipologia di P'!$D56</f>
        <v>13.096513052270573</v>
      </c>
      <c r="E48" s="247">
        <f>('approccio per tipologia di P'!D90/'approccio per tipologia di P'!$C67)*'approccio per tipologia di P'!$K56</f>
        <v>13.509295904433861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="85" zoomScaleNormal="85" workbookViewId="0">
      <selection activeCell="K46" sqref="K46"/>
    </sheetView>
  </sheetViews>
  <sheetFormatPr defaultRowHeight="15" x14ac:dyDescent="0.25"/>
  <cols>
    <col min="1" max="1" width="18" customWidth="1"/>
    <col min="2" max="3" width="12.5703125" customWidth="1"/>
    <col min="4" max="5" width="12.140625" customWidth="1"/>
    <col min="6" max="7" width="14" customWidth="1"/>
    <col min="8" max="8" width="11.85546875" customWidth="1"/>
    <col min="9" max="9" width="11.28515625" customWidth="1"/>
  </cols>
  <sheetData>
    <row r="1" spans="1:9" x14ac:dyDescent="0.25">
      <c r="A1" s="293" t="s">
        <v>219</v>
      </c>
      <c r="B1" s="293"/>
      <c r="C1" s="293" t="s">
        <v>233</v>
      </c>
      <c r="D1" s="293"/>
    </row>
    <row r="2" spans="1:9" ht="15.75" thickBot="1" x14ac:dyDescent="0.3"/>
    <row r="3" spans="1:9" ht="15.75" thickBot="1" x14ac:dyDescent="0.3">
      <c r="A3" s="279"/>
      <c r="B3" s="279" t="s">
        <v>222</v>
      </c>
      <c r="C3" s="279" t="s">
        <v>236</v>
      </c>
      <c r="D3" s="279" t="s">
        <v>222</v>
      </c>
      <c r="E3" s="279" t="s">
        <v>236</v>
      </c>
      <c r="F3" s="279" t="s">
        <v>222</v>
      </c>
      <c r="G3" s="279" t="s">
        <v>236</v>
      </c>
      <c r="H3" s="279" t="s">
        <v>222</v>
      </c>
      <c r="I3" s="279" t="s">
        <v>236</v>
      </c>
    </row>
    <row r="4" spans="1:9" ht="15.75" thickBot="1" x14ac:dyDescent="0.3">
      <c r="A4" s="285" t="s">
        <v>220</v>
      </c>
      <c r="B4" s="285" t="s">
        <v>221</v>
      </c>
      <c r="C4" s="285" t="s">
        <v>221</v>
      </c>
      <c r="D4" s="285" t="s">
        <v>107</v>
      </c>
      <c r="E4" s="285" t="s">
        <v>107</v>
      </c>
      <c r="F4" s="285" t="s">
        <v>173</v>
      </c>
      <c r="G4" s="285" t="s">
        <v>173</v>
      </c>
      <c r="H4" s="285" t="s">
        <v>116</v>
      </c>
      <c r="I4" s="285" t="s">
        <v>116</v>
      </c>
    </row>
    <row r="5" spans="1:9" ht="15.75" thickTop="1" x14ac:dyDescent="0.25">
      <c r="A5" s="281">
        <v>1</v>
      </c>
      <c r="B5" s="282">
        <v>190</v>
      </c>
      <c r="C5" s="286">
        <f>' RIGIDEZZE_X'!P47</f>
        <v>194.374116010271</v>
      </c>
      <c r="D5" s="282" t="s">
        <v>223</v>
      </c>
      <c r="E5" s="286">
        <f>' RIGIDEZZE_X'!P16</f>
        <v>165.88728377178654</v>
      </c>
      <c r="F5" s="282">
        <v>123</v>
      </c>
      <c r="G5" s="286">
        <f>' RIGIDEZZE_X'!P63</f>
        <v>126.94834095639325</v>
      </c>
      <c r="H5" s="282">
        <v>225</v>
      </c>
      <c r="I5" s="289">
        <f>' RIGIDEZZE_X'!P32</f>
        <v>366.01022718223669</v>
      </c>
    </row>
    <row r="6" spans="1:9" x14ac:dyDescent="0.25">
      <c r="A6" s="283">
        <v>2</v>
      </c>
      <c r="B6" s="42">
        <v>83</v>
      </c>
      <c r="C6" s="287">
        <f>' RIGIDEZZE_X'!P44</f>
        <v>85.799934846685034</v>
      </c>
      <c r="D6" s="42" t="s">
        <v>224</v>
      </c>
      <c r="E6" s="287">
        <f>' RIGIDEZZE_X'!P13</f>
        <v>86.751120574343801</v>
      </c>
      <c r="F6" s="42">
        <v>75</v>
      </c>
      <c r="G6" s="287">
        <f>' RIGIDEZZE_X'!P60</f>
        <v>70.795942475246136</v>
      </c>
      <c r="H6" s="42">
        <v>37</v>
      </c>
      <c r="I6" s="290">
        <f>' RIGIDEZZE_X'!P29</f>
        <v>97.310903611666404</v>
      </c>
    </row>
    <row r="7" spans="1:9" x14ac:dyDescent="0.25">
      <c r="A7" s="283">
        <v>3</v>
      </c>
      <c r="B7" s="42">
        <v>166</v>
      </c>
      <c r="C7" s="287">
        <f>' RIGIDEZZE_X'!P41</f>
        <v>175.61843778132254</v>
      </c>
      <c r="D7" s="42" t="s">
        <v>225</v>
      </c>
      <c r="E7" s="287">
        <f>' RIGIDEZZE_X'!P10</f>
        <v>171.86054701834206</v>
      </c>
      <c r="F7" s="42">
        <v>124</v>
      </c>
      <c r="G7" s="287">
        <f>' RIGIDEZZE_X'!P57</f>
        <v>131.78946725669564</v>
      </c>
      <c r="H7" s="42">
        <v>206</v>
      </c>
      <c r="I7" s="290">
        <f>' RIGIDEZZE_X'!P26</f>
        <v>351.7968606693554</v>
      </c>
    </row>
    <row r="8" spans="1:9" ht="15.75" thickBot="1" x14ac:dyDescent="0.3">
      <c r="A8" s="284">
        <v>4</v>
      </c>
      <c r="B8" s="280">
        <v>98</v>
      </c>
      <c r="C8" s="288">
        <f>' RIGIDEZZE_X'!P38</f>
        <v>97.187058005135498</v>
      </c>
      <c r="D8" s="280" t="s">
        <v>226</v>
      </c>
      <c r="E8" s="288">
        <f>' RIGIDEZZE_X'!P7</f>
        <v>82.943641885893257</v>
      </c>
      <c r="F8" s="280">
        <v>60</v>
      </c>
      <c r="G8" s="288">
        <f>' RIGIDEZZE_X'!P54</f>
        <v>63.474170478196619</v>
      </c>
      <c r="H8" s="280">
        <v>100</v>
      </c>
      <c r="I8" s="291">
        <f>' RIGIDEZZE_X'!P23</f>
        <v>165.15036899246564</v>
      </c>
    </row>
    <row r="9" spans="1:9" ht="15.75" thickTop="1" x14ac:dyDescent="0.25">
      <c r="A9" s="42">
        <v>5</v>
      </c>
      <c r="B9" s="42">
        <v>131</v>
      </c>
      <c r="C9" s="287">
        <f>' RIGIDEZZE_X'!D49</f>
        <v>28.110609923393362</v>
      </c>
      <c r="D9" s="42" t="s">
        <v>227</v>
      </c>
      <c r="E9" s="287">
        <f>' RIGIDEZZE_X'!D17</f>
        <v>36.120703224575252</v>
      </c>
      <c r="F9" s="42">
        <v>82</v>
      </c>
      <c r="G9" s="287">
        <f>' RIGIDEZZE_X'!D65</f>
        <v>30.263099959936369</v>
      </c>
      <c r="H9" s="42">
        <v>95</v>
      </c>
      <c r="I9" s="287">
        <f>' RIGIDEZZE_X'!D33</f>
        <v>102.4857256836019</v>
      </c>
    </row>
    <row r="10" spans="1:9" x14ac:dyDescent="0.25">
      <c r="A10" s="42">
        <v>6</v>
      </c>
      <c r="B10" s="42">
        <v>54</v>
      </c>
      <c r="C10" s="287">
        <f>' RIGIDEZZE_X'!F49</f>
        <v>97.187058005135484</v>
      </c>
      <c r="D10" s="42" t="s">
        <v>228</v>
      </c>
      <c r="E10" s="287">
        <f>' RIGIDEZZE_X'!F17</f>
        <v>82.943641885893257</v>
      </c>
      <c r="F10" s="42">
        <v>39</v>
      </c>
      <c r="G10" s="287">
        <f>' RIGIDEZZE_X'!F65</f>
        <v>63.474170478196626</v>
      </c>
      <c r="H10" s="42">
        <v>55</v>
      </c>
      <c r="I10" s="287">
        <f>' RIGIDEZZE_X'!F33</f>
        <v>137.27316203172438</v>
      </c>
    </row>
    <row r="11" spans="1:9" x14ac:dyDescent="0.25">
      <c r="A11" s="42">
        <v>7</v>
      </c>
      <c r="B11" s="42">
        <v>55</v>
      </c>
      <c r="C11" s="287">
        <f>' RIGIDEZZE_X'!H49</f>
        <v>97.187058005135484</v>
      </c>
      <c r="D11" s="42" t="s">
        <v>229</v>
      </c>
      <c r="E11" s="287">
        <f>' RIGIDEZZE_X'!H17</f>
        <v>82.943641885893257</v>
      </c>
      <c r="F11" s="42">
        <v>37</v>
      </c>
      <c r="G11" s="287">
        <f>' RIGIDEZZE_X'!H65</f>
        <v>63.474170478196626</v>
      </c>
      <c r="H11" s="42">
        <v>62</v>
      </c>
      <c r="I11" s="287">
        <f>' RIGIDEZZE_X'!H33</f>
        <v>172.98265122902984</v>
      </c>
    </row>
    <row r="12" spans="1:9" x14ac:dyDescent="0.25">
      <c r="A12" s="42">
        <v>8</v>
      </c>
      <c r="B12" s="42">
        <v>72</v>
      </c>
      <c r="C12" s="287">
        <f>' RIGIDEZZE_X'!J49</f>
        <v>107.10607608708099</v>
      </c>
      <c r="D12" s="42" t="s">
        <v>230</v>
      </c>
      <c r="E12" s="287">
        <f>' RIGIDEZZE_X'!J17</f>
        <v>100.74715229682465</v>
      </c>
      <c r="F12" s="42">
        <v>72</v>
      </c>
      <c r="G12" s="287">
        <f>' RIGIDEZZE_X'!J65</f>
        <v>76.145755885710088</v>
      </c>
      <c r="H12" s="42">
        <v>92</v>
      </c>
      <c r="I12" s="287">
        <f>' RIGIDEZZE_X'!J33</f>
        <v>172.98265122902984</v>
      </c>
    </row>
    <row r="13" spans="1:9" x14ac:dyDescent="0.25">
      <c r="A13" s="42">
        <v>9</v>
      </c>
      <c r="B13" s="42">
        <v>64</v>
      </c>
      <c r="C13" s="287">
        <f>' RIGIDEZZE_X'!L49</f>
        <v>98.091076694139844</v>
      </c>
      <c r="D13" s="42" t="s">
        <v>231</v>
      </c>
      <c r="E13" s="287">
        <f>' RIGIDEZZE_X'!L17</f>
        <v>85.623108846710707</v>
      </c>
      <c r="F13" s="42">
        <v>58</v>
      </c>
      <c r="G13" s="287">
        <f>' RIGIDEZZE_X'!L65</f>
        <v>65.913453926358955</v>
      </c>
      <c r="H13" s="42">
        <v>35</v>
      </c>
      <c r="I13" s="287">
        <f>' RIGIDEZZE_X'!L33</f>
        <v>126.90807560627061</v>
      </c>
    </row>
    <row r="14" spans="1:9" x14ac:dyDescent="0.25">
      <c r="A14" s="43">
        <v>10</v>
      </c>
      <c r="B14" s="43">
        <v>159</v>
      </c>
      <c r="C14" s="292">
        <f>' RIGIDEZZE_X'!N49</f>
        <v>28.110609923393362</v>
      </c>
      <c r="D14" s="43" t="s">
        <v>232</v>
      </c>
      <c r="E14" s="292">
        <f>' RIGIDEZZE_X'!N17</f>
        <v>36.120703224575252</v>
      </c>
      <c r="F14" s="43">
        <v>85</v>
      </c>
      <c r="G14" s="292">
        <f>' RIGIDEZZE_X'!N65</f>
        <v>30.263099959936369</v>
      </c>
      <c r="H14" s="43">
        <v>172</v>
      </c>
      <c r="I14" s="292">
        <f>' RIGIDEZZE_X'!N33</f>
        <v>102.4857256836019</v>
      </c>
    </row>
    <row r="15" spans="1:9" x14ac:dyDescent="0.25">
      <c r="A15" s="277"/>
      <c r="B15" s="277"/>
      <c r="C15" s="277"/>
      <c r="D15" s="277"/>
      <c r="E15" s="277"/>
      <c r="F15" s="277"/>
      <c r="G15" s="277"/>
      <c r="H15" s="277"/>
      <c r="I15" s="277"/>
    </row>
    <row r="16" spans="1:9" x14ac:dyDescent="0.25">
      <c r="A16" s="294" t="s">
        <v>234</v>
      </c>
      <c r="B16" s="294"/>
      <c r="C16" s="294" t="s">
        <v>235</v>
      </c>
      <c r="D16" s="294"/>
      <c r="E16" s="277"/>
      <c r="F16" s="277"/>
      <c r="G16" s="277"/>
      <c r="H16" s="277"/>
      <c r="I16" s="277"/>
    </row>
    <row r="17" spans="1:9" ht="15.75" thickBot="1" x14ac:dyDescent="0.3">
      <c r="A17" s="277"/>
      <c r="B17" s="277"/>
      <c r="C17" s="277"/>
      <c r="D17" s="277"/>
      <c r="E17" s="277"/>
      <c r="F17" s="277"/>
      <c r="G17" s="277"/>
      <c r="H17" s="277"/>
      <c r="I17" s="277"/>
    </row>
    <row r="18" spans="1:9" ht="15.75" thickBot="1" x14ac:dyDescent="0.3">
      <c r="A18" s="279"/>
      <c r="B18" s="279" t="s">
        <v>222</v>
      </c>
      <c r="C18" s="279" t="s">
        <v>236</v>
      </c>
      <c r="D18" s="279" t="s">
        <v>222</v>
      </c>
      <c r="E18" s="279" t="s">
        <v>236</v>
      </c>
      <c r="F18" s="279" t="s">
        <v>222</v>
      </c>
      <c r="G18" s="279" t="s">
        <v>236</v>
      </c>
      <c r="H18" s="279" t="s">
        <v>222</v>
      </c>
      <c r="I18" s="279" t="s">
        <v>236</v>
      </c>
    </row>
    <row r="19" spans="1:9" x14ac:dyDescent="0.25">
      <c r="A19" s="262" t="s">
        <v>220</v>
      </c>
      <c r="B19" s="262" t="s">
        <v>221</v>
      </c>
      <c r="C19" s="262" t="s">
        <v>221</v>
      </c>
      <c r="D19" s="262" t="s">
        <v>107</v>
      </c>
      <c r="E19" s="262" t="s">
        <v>107</v>
      </c>
      <c r="F19" s="262" t="s">
        <v>173</v>
      </c>
      <c r="G19" s="262" t="s">
        <v>173</v>
      </c>
      <c r="H19" s="262" t="s">
        <v>116</v>
      </c>
      <c r="I19" s="262" t="s">
        <v>116</v>
      </c>
    </row>
    <row r="20" spans="1:9" x14ac:dyDescent="0.25">
      <c r="A20" s="42">
        <v>1</v>
      </c>
      <c r="B20" s="42">
        <v>149</v>
      </c>
      <c r="C20" s="42"/>
      <c r="D20" s="42" t="s">
        <v>237</v>
      </c>
      <c r="E20" s="42"/>
      <c r="F20" s="42">
        <v>170</v>
      </c>
      <c r="G20" s="42"/>
      <c r="H20" s="42">
        <v>4004</v>
      </c>
      <c r="I20" s="42"/>
    </row>
    <row r="21" spans="1:9" x14ac:dyDescent="0.25">
      <c r="A21" s="42">
        <v>2</v>
      </c>
      <c r="B21" s="42">
        <v>69</v>
      </c>
      <c r="C21" s="42"/>
      <c r="D21" s="42" t="s">
        <v>238</v>
      </c>
      <c r="E21" s="42"/>
      <c r="F21" s="42">
        <v>81</v>
      </c>
      <c r="G21" s="42"/>
      <c r="H21" s="42">
        <v>490</v>
      </c>
      <c r="I21" s="42"/>
    </row>
    <row r="22" spans="1:9" x14ac:dyDescent="0.25">
      <c r="A22" s="42">
        <v>3</v>
      </c>
      <c r="B22" s="42">
        <v>137</v>
      </c>
      <c r="C22" s="42"/>
      <c r="D22" s="42" t="s">
        <v>239</v>
      </c>
      <c r="E22" s="42"/>
      <c r="F22" s="42">
        <v>158</v>
      </c>
      <c r="G22" s="42"/>
      <c r="H22" s="42">
        <v>36257</v>
      </c>
      <c r="I22" s="42"/>
    </row>
    <row r="23" spans="1:9" ht="15.75" thickBot="1" x14ac:dyDescent="0.3">
      <c r="A23" s="42">
        <v>4</v>
      </c>
      <c r="B23" s="42">
        <v>78</v>
      </c>
      <c r="C23" s="42"/>
      <c r="D23" s="42" t="s">
        <v>240</v>
      </c>
      <c r="E23" s="42"/>
      <c r="F23" s="42">
        <v>84</v>
      </c>
      <c r="G23" s="42"/>
      <c r="H23" s="42">
        <v>3892</v>
      </c>
      <c r="I23" s="42"/>
    </row>
    <row r="24" spans="1:9" ht="15.75" thickTop="1" x14ac:dyDescent="0.25">
      <c r="A24" s="281">
        <v>5</v>
      </c>
      <c r="B24" s="282">
        <v>126</v>
      </c>
      <c r="C24" s="286">
        <f>' RIGIDEZZE_Y'!D59</f>
        <v>126.76577300503379</v>
      </c>
      <c r="D24" s="282" t="s">
        <v>241</v>
      </c>
      <c r="E24" s="286">
        <f>' RIGIDEZZE_Y'!D19</f>
        <v>97.453356011086555</v>
      </c>
      <c r="F24" s="282">
        <v>73</v>
      </c>
      <c r="G24" s="286">
        <f>' RIGIDEZZE_Y'!D81</f>
        <v>73.74391303357001</v>
      </c>
      <c r="H24" s="282">
        <v>71</v>
      </c>
      <c r="I24" s="289">
        <f>' RIGIDEZZE_Y'!D38</f>
        <v>178.62794604824478</v>
      </c>
    </row>
    <row r="25" spans="1:9" x14ac:dyDescent="0.25">
      <c r="A25" s="283">
        <v>6</v>
      </c>
      <c r="B25" s="42">
        <v>51</v>
      </c>
      <c r="C25" s="287">
        <f>' RIGIDEZZE_Y'!F59</f>
        <v>54.28972930017337</v>
      </c>
      <c r="D25" s="42" t="s">
        <v>242</v>
      </c>
      <c r="E25" s="287">
        <f>' RIGIDEZZE_Y'!F19</f>
        <v>43.161395909309846</v>
      </c>
      <c r="F25" s="42">
        <v>35</v>
      </c>
      <c r="G25" s="287">
        <f>' RIGIDEZZE_Y'!F81</f>
        <v>34.863944782754452</v>
      </c>
      <c r="H25" s="42">
        <v>44</v>
      </c>
      <c r="I25" s="290">
        <f>' RIGIDEZZE_Y'!F38</f>
        <v>96.133898041900309</v>
      </c>
    </row>
    <row r="26" spans="1:9" x14ac:dyDescent="0.25">
      <c r="A26" s="283">
        <v>7</v>
      </c>
      <c r="B26" s="42">
        <v>51</v>
      </c>
      <c r="C26" s="287">
        <f>' RIGIDEZZE_Y'!H59</f>
        <v>54.28972930017337</v>
      </c>
      <c r="D26" s="42" t="s">
        <v>242</v>
      </c>
      <c r="E26" s="287">
        <f>' RIGIDEZZE_Y'!H19</f>
        <v>43.161395909309846</v>
      </c>
      <c r="F26" s="42">
        <v>35</v>
      </c>
      <c r="G26" s="287">
        <f>' RIGIDEZZE_Y'!H81</f>
        <v>34.863944782754452</v>
      </c>
      <c r="H26" s="42">
        <v>43</v>
      </c>
      <c r="I26" s="290">
        <f>' RIGIDEZZE_Y'!H38</f>
        <v>96.133898041900309</v>
      </c>
    </row>
    <row r="27" spans="1:9" x14ac:dyDescent="0.25">
      <c r="A27" s="283">
        <v>8</v>
      </c>
      <c r="B27" s="42">
        <v>72</v>
      </c>
      <c r="C27" s="287">
        <f>' RIGIDEZZE_Y'!J59</f>
        <v>77.882565002039343</v>
      </c>
      <c r="D27" s="42" t="s">
        <v>243</v>
      </c>
      <c r="E27" s="287">
        <f>' RIGIDEZZE_Y'!J19</f>
        <v>83.153629129709159</v>
      </c>
      <c r="F27" s="42">
        <v>65</v>
      </c>
      <c r="G27" s="287">
        <f>' RIGIDEZZE_Y'!J81</f>
        <v>65.731411357631032</v>
      </c>
      <c r="H27" s="42">
        <v>108</v>
      </c>
      <c r="I27" s="290">
        <f>' RIGIDEZZE_Y'!J38</f>
        <v>95.048292764666712</v>
      </c>
    </row>
    <row r="28" spans="1:9" x14ac:dyDescent="0.25">
      <c r="A28" s="283">
        <v>9</v>
      </c>
      <c r="B28" s="42">
        <v>62</v>
      </c>
      <c r="C28" s="287">
        <f>' RIGIDEZZE_Y'!L59</f>
        <v>67.059528231089445</v>
      </c>
      <c r="D28" s="42" t="s">
        <v>244</v>
      </c>
      <c r="E28" s="287">
        <f>' RIGIDEZZE_Y'!L19</f>
        <v>62.670651757960307</v>
      </c>
      <c r="F28" s="42">
        <v>52</v>
      </c>
      <c r="G28" s="287">
        <f>' RIGIDEZZE_Y'!L81</f>
        <v>50.620542501955214</v>
      </c>
      <c r="H28" s="42">
        <v>31</v>
      </c>
      <c r="I28" s="290">
        <f>' RIGIDEZZE_Y'!L38</f>
        <v>84.741500410747605</v>
      </c>
    </row>
    <row r="29" spans="1:9" ht="15.75" thickBot="1" x14ac:dyDescent="0.3">
      <c r="A29" s="284">
        <v>10</v>
      </c>
      <c r="B29" s="280">
        <v>152</v>
      </c>
      <c r="C29" s="288">
        <f>' RIGIDEZZE_Y'!N59</f>
        <v>155.79567323078436</v>
      </c>
      <c r="D29" s="280" t="s">
        <v>245</v>
      </c>
      <c r="E29" s="288">
        <f>' RIGIDEZZE_Y'!N19</f>
        <v>106.19979413354022</v>
      </c>
      <c r="F29" s="280">
        <v>71</v>
      </c>
      <c r="G29" s="288">
        <f>' RIGIDEZZE_Y'!N81</f>
        <v>81.429770168075393</v>
      </c>
      <c r="H29" s="280">
        <v>122</v>
      </c>
      <c r="I29" s="291">
        <f>' RIGIDEZZE_Y'!N38</f>
        <v>190.55794246791908</v>
      </c>
    </row>
    <row r="30" spans="1:9" ht="16.5" thickTop="1" thickBot="1" x14ac:dyDescent="0.3"/>
    <row r="31" spans="1:9" ht="15.75" thickBot="1" x14ac:dyDescent="0.3">
      <c r="A31" s="295" t="s">
        <v>246</v>
      </c>
      <c r="B31" s="183"/>
      <c r="C31" s="183"/>
      <c r="D31" s="183"/>
      <c r="E31" s="304" t="s">
        <v>247</v>
      </c>
      <c r="F31" s="304"/>
      <c r="G31" s="183"/>
      <c r="H31" s="183"/>
      <c r="I31" s="261"/>
    </row>
    <row r="32" spans="1:9" x14ac:dyDescent="0.25">
      <c r="A32" s="191"/>
      <c r="B32" s="285" t="s">
        <v>222</v>
      </c>
      <c r="C32" s="285" t="s">
        <v>236</v>
      </c>
      <c r="D32" s="27"/>
      <c r="E32" s="27"/>
      <c r="F32" s="27"/>
      <c r="G32" s="285" t="s">
        <v>222</v>
      </c>
      <c r="H32" s="285" t="s">
        <v>236</v>
      </c>
      <c r="I32" s="188"/>
    </row>
    <row r="33" spans="1:9" x14ac:dyDescent="0.25">
      <c r="A33" s="197" t="s">
        <v>22</v>
      </c>
      <c r="B33" s="41">
        <v>12.29</v>
      </c>
      <c r="C33" s="63">
        <f>'approccio per tipologia di P'!H73</f>
        <v>11.081917310001955</v>
      </c>
      <c r="D33" s="27"/>
      <c r="E33" s="27"/>
      <c r="F33" s="44" t="s">
        <v>22</v>
      </c>
      <c r="G33" s="41">
        <v>13.86</v>
      </c>
      <c r="H33" s="63">
        <f>'approccio per tipologia di P'!H86</f>
        <v>13.058173829557838</v>
      </c>
      <c r="I33" s="188"/>
    </row>
    <row r="34" spans="1:9" x14ac:dyDescent="0.25">
      <c r="A34" s="197">
        <v>4</v>
      </c>
      <c r="B34" s="42">
        <v>11.41</v>
      </c>
      <c r="C34" s="46">
        <f>'approccio per tipologia di P'!H74</f>
        <v>10.540575990313538</v>
      </c>
      <c r="D34" s="27"/>
      <c r="E34" s="27"/>
      <c r="F34" s="44">
        <v>4</v>
      </c>
      <c r="G34" s="42">
        <v>12.68</v>
      </c>
      <c r="H34" s="46">
        <f>'approccio per tipologia di P'!H87</f>
        <v>12.325144906225534</v>
      </c>
      <c r="I34" s="188"/>
    </row>
    <row r="35" spans="1:9" x14ac:dyDescent="0.25">
      <c r="A35" s="197">
        <v>3</v>
      </c>
      <c r="B35" s="42">
        <v>8.92</v>
      </c>
      <c r="C35" s="46">
        <f>'approccio per tipologia di P'!H75</f>
        <v>8.1139190105050112</v>
      </c>
      <c r="D35" s="27"/>
      <c r="E35" s="27"/>
      <c r="F35" s="44">
        <v>3</v>
      </c>
      <c r="G35" s="42">
        <v>9.83</v>
      </c>
      <c r="H35" s="46">
        <f>'approccio per tipologia di P'!H88</f>
        <v>9.5304619488184876</v>
      </c>
      <c r="I35" s="188"/>
    </row>
    <row r="36" spans="1:9" x14ac:dyDescent="0.25">
      <c r="A36" s="197">
        <v>2</v>
      </c>
      <c r="B36" s="42">
        <v>6.17</v>
      </c>
      <c r="C36" s="46">
        <f>'approccio per tipologia di P'!H76</f>
        <v>5.5593201200817202</v>
      </c>
      <c r="D36" s="27"/>
      <c r="E36" s="27"/>
      <c r="F36" s="44">
        <v>2</v>
      </c>
      <c r="G36" s="42">
        <v>6.66</v>
      </c>
      <c r="H36" s="46">
        <f>'approccio per tipologia di P'!H89</f>
        <v>6.5559056780788989</v>
      </c>
      <c r="I36" s="188"/>
    </row>
    <row r="37" spans="1:9" x14ac:dyDescent="0.25">
      <c r="A37" s="197">
        <v>1</v>
      </c>
      <c r="B37" s="43">
        <v>3.05</v>
      </c>
      <c r="C37" s="48">
        <f>'approccio per tipologia di P'!H77</f>
        <v>2.9638151470001017</v>
      </c>
      <c r="D37" s="27"/>
      <c r="E37" s="27"/>
      <c r="F37" s="44">
        <v>1</v>
      </c>
      <c r="G37" s="43">
        <v>3.16</v>
      </c>
      <c r="H37" s="48">
        <f>'approccio per tipologia di P'!H90</f>
        <v>3.0572302464834982</v>
      </c>
      <c r="I37" s="188"/>
    </row>
    <row r="38" spans="1:9" x14ac:dyDescent="0.25">
      <c r="A38" s="191"/>
      <c r="B38" s="27"/>
      <c r="C38" s="27"/>
      <c r="D38" s="27"/>
      <c r="E38" s="27"/>
      <c r="F38" s="27"/>
      <c r="G38" s="27"/>
      <c r="H38" s="27"/>
      <c r="I38" s="188"/>
    </row>
    <row r="39" spans="1:9" ht="45.75" thickBot="1" x14ac:dyDescent="0.3">
      <c r="A39" s="296"/>
      <c r="B39" s="299" t="s">
        <v>248</v>
      </c>
      <c r="C39" s="300"/>
      <c r="D39" s="300"/>
      <c r="E39" s="300"/>
      <c r="F39" s="300"/>
      <c r="G39" s="299" t="s">
        <v>249</v>
      </c>
      <c r="H39" s="298"/>
      <c r="I39" s="297"/>
    </row>
    <row r="40" spans="1:9" x14ac:dyDescent="0.25">
      <c r="A40" s="14"/>
      <c r="B40" s="31"/>
      <c r="C40" s="230"/>
      <c r="D40" s="230"/>
      <c r="E40" s="230"/>
      <c r="F40" s="230"/>
      <c r="G40" s="31"/>
      <c r="H40" s="27"/>
      <c r="I40" s="14"/>
    </row>
    <row r="41" spans="1:9" x14ac:dyDescent="0.25">
      <c r="A41" t="s">
        <v>256</v>
      </c>
      <c r="F41" t="s">
        <v>257</v>
      </c>
    </row>
    <row r="42" spans="1:9" x14ac:dyDescent="0.25">
      <c r="B42" t="s">
        <v>253</v>
      </c>
      <c r="D42" t="s">
        <v>254</v>
      </c>
      <c r="G42" s="278" t="s">
        <v>253</v>
      </c>
      <c r="H42" s="278"/>
      <c r="I42" s="278" t="s">
        <v>254</v>
      </c>
    </row>
    <row r="43" spans="1:9" x14ac:dyDescent="0.25">
      <c r="A43" s="27" t="s">
        <v>255</v>
      </c>
      <c r="B43" s="27" t="s">
        <v>250</v>
      </c>
      <c r="C43" s="27" t="s">
        <v>251</v>
      </c>
      <c r="D43" s="27" t="s">
        <v>252</v>
      </c>
      <c r="F43" s="27" t="s">
        <v>255</v>
      </c>
      <c r="G43" s="27" t="s">
        <v>250</v>
      </c>
      <c r="H43" s="27" t="s">
        <v>251</v>
      </c>
      <c r="I43" s="27" t="s">
        <v>252</v>
      </c>
    </row>
    <row r="44" spans="1:9" x14ac:dyDescent="0.25">
      <c r="A44" s="27">
        <v>5</v>
      </c>
      <c r="B44" s="27">
        <v>44</v>
      </c>
      <c r="C44" s="305">
        <v>64.593479706080799</v>
      </c>
      <c r="D44" s="27">
        <v>53</v>
      </c>
      <c r="F44" s="27">
        <v>5</v>
      </c>
      <c r="H44" s="305">
        <v>32.2967398530404</v>
      </c>
      <c r="I44" s="27">
        <v>19.899999999999999</v>
      </c>
    </row>
    <row r="45" spans="1:9" x14ac:dyDescent="0.25">
      <c r="A45" s="27">
        <v>4</v>
      </c>
      <c r="B45" s="305">
        <v>136</v>
      </c>
      <c r="C45" s="305">
        <v>157.35974347810259</v>
      </c>
      <c r="D45" s="305">
        <v>158</v>
      </c>
      <c r="F45" s="27">
        <v>4</v>
      </c>
      <c r="H45" s="305">
        <v>110.9766115920917</v>
      </c>
      <c r="I45" s="305">
        <v>115</v>
      </c>
    </row>
    <row r="46" spans="1:9" x14ac:dyDescent="0.25">
      <c r="A46" s="27">
        <v>3</v>
      </c>
      <c r="B46" s="305">
        <v>208</v>
      </c>
      <c r="C46" s="305">
        <v>213.89152713569877</v>
      </c>
      <c r="D46" s="305">
        <v>238</v>
      </c>
      <c r="F46" s="27">
        <v>3</v>
      </c>
      <c r="H46" s="305">
        <v>185.62563530690068</v>
      </c>
      <c r="I46" s="305">
        <v>230</v>
      </c>
    </row>
    <row r="47" spans="1:9" x14ac:dyDescent="0.25">
      <c r="A47" s="27">
        <v>2</v>
      </c>
      <c r="B47" s="305">
        <v>232</v>
      </c>
      <c r="C47" s="305">
        <v>251.57938290742956</v>
      </c>
      <c r="D47" s="305">
        <v>278</v>
      </c>
      <c r="F47" s="27">
        <v>2</v>
      </c>
      <c r="H47" s="305">
        <v>232.73545502156418</v>
      </c>
      <c r="I47" s="305">
        <v>296</v>
      </c>
    </row>
    <row r="48" spans="1:9" x14ac:dyDescent="0.25">
      <c r="A48" s="27">
        <v>1</v>
      </c>
      <c r="B48" s="305">
        <v>358</v>
      </c>
      <c r="C48" s="305">
        <v>249.11723176109595</v>
      </c>
      <c r="D48" s="305">
        <v>428</v>
      </c>
      <c r="F48" s="27">
        <v>1</v>
      </c>
      <c r="H48" s="305">
        <v>250.34830733426276</v>
      </c>
      <c r="I48" s="305">
        <v>355</v>
      </c>
    </row>
    <row r="49" spans="1:2" x14ac:dyDescent="0.25">
      <c r="A49" s="169"/>
      <c r="B49" s="169"/>
    </row>
  </sheetData>
  <mergeCells count="1">
    <mergeCell ref="E31:F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C9" sqref="C9"/>
    </sheetView>
  </sheetViews>
  <sheetFormatPr defaultRowHeight="15" x14ac:dyDescent="0.25"/>
  <cols>
    <col min="1" max="1" width="19.28515625" customWidth="1"/>
    <col min="2" max="2" width="18" customWidth="1"/>
    <col min="3" max="3" width="18.140625" customWidth="1"/>
  </cols>
  <sheetData>
    <row r="2" spans="1:10" x14ac:dyDescent="0.25">
      <c r="A2" s="1" t="s">
        <v>78</v>
      </c>
      <c r="B2" s="1" t="s">
        <v>77</v>
      </c>
      <c r="C2" s="1" t="s">
        <v>79</v>
      </c>
    </row>
    <row r="3" spans="1:10" x14ac:dyDescent="0.25">
      <c r="A3" t="s">
        <v>42</v>
      </c>
      <c r="B3" s="2">
        <v>5.6</v>
      </c>
      <c r="C3" s="2">
        <v>9.6999999999999993</v>
      </c>
      <c r="D3" s="2" t="s">
        <v>81</v>
      </c>
    </row>
    <row r="4" spans="1:10" x14ac:dyDescent="0.25">
      <c r="A4" t="s">
        <v>34</v>
      </c>
      <c r="B4" s="91">
        <v>4</v>
      </c>
      <c r="C4" s="2">
        <v>5.2</v>
      </c>
      <c r="D4" s="2" t="s">
        <v>82</v>
      </c>
    </row>
    <row r="5" spans="1:10" x14ac:dyDescent="0.25">
      <c r="A5" t="s">
        <v>43</v>
      </c>
      <c r="B5" s="2">
        <v>7</v>
      </c>
      <c r="C5" s="2">
        <v>9.1</v>
      </c>
      <c r="D5" s="2" t="s">
        <v>82</v>
      </c>
    </row>
    <row r="6" spans="1:10" x14ac:dyDescent="0.25">
      <c r="A6" t="s">
        <v>44</v>
      </c>
      <c r="B6" s="2">
        <v>6.4</v>
      </c>
      <c r="C6" s="2">
        <v>11.2</v>
      </c>
      <c r="D6" s="2" t="s">
        <v>81</v>
      </c>
    </row>
    <row r="7" spans="1:10" x14ac:dyDescent="0.25">
      <c r="A7" t="s">
        <v>45</v>
      </c>
      <c r="B7" s="2">
        <v>7.4</v>
      </c>
      <c r="C7" s="2">
        <v>12.5</v>
      </c>
      <c r="D7" s="2" t="s">
        <v>81</v>
      </c>
    </row>
    <row r="8" spans="1:10" x14ac:dyDescent="0.25">
      <c r="A8" s="106" t="s">
        <v>180</v>
      </c>
      <c r="B8" s="43"/>
      <c r="C8" s="43">
        <v>0</v>
      </c>
      <c r="D8" s="48"/>
      <c r="E8" s="43"/>
      <c r="F8" s="2"/>
      <c r="G8" s="2"/>
      <c r="H8" s="2"/>
      <c r="I8" s="2"/>
      <c r="J8" s="2"/>
    </row>
    <row r="9" spans="1:10" x14ac:dyDescent="0.25">
      <c r="C9" s="16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205"/>
  <sheetViews>
    <sheetView topLeftCell="A18" zoomScale="85" zoomScaleNormal="85" workbookViewId="0">
      <selection activeCell="A27" sqref="A27:F34"/>
    </sheetView>
  </sheetViews>
  <sheetFormatPr defaultRowHeight="15" x14ac:dyDescent="0.25"/>
  <cols>
    <col min="1" max="2" width="18.42578125" customWidth="1"/>
    <col min="3" max="3" width="18.5703125" customWidth="1"/>
    <col min="4" max="4" width="18.7109375" customWidth="1"/>
    <col min="5" max="5" width="18.28515625" customWidth="1"/>
    <col min="6" max="6" width="18.5703125" customWidth="1"/>
  </cols>
  <sheetData>
    <row r="2" spans="1:45" ht="23.25" x14ac:dyDescent="0.35">
      <c r="A2" s="34" t="s">
        <v>66</v>
      </c>
      <c r="B2" s="35"/>
      <c r="H2" s="49"/>
    </row>
    <row r="3" spans="1:45" ht="23.25" x14ac:dyDescent="0.35">
      <c r="A3" s="32"/>
    </row>
    <row r="4" spans="1:45" ht="18.75" x14ac:dyDescent="0.3">
      <c r="A4" s="52" t="s">
        <v>0</v>
      </c>
      <c r="B4" s="53" t="s">
        <v>11</v>
      </c>
      <c r="C4" s="53" t="s">
        <v>2</v>
      </c>
      <c r="D4" s="53" t="s">
        <v>3</v>
      </c>
      <c r="E4" s="53" t="s">
        <v>4</v>
      </c>
      <c r="F4" s="54" t="s">
        <v>5</v>
      </c>
    </row>
    <row r="5" spans="1:45" x14ac:dyDescent="0.25">
      <c r="A5" s="42" t="s">
        <v>1</v>
      </c>
      <c r="B5" s="46">
        <v>2.6</v>
      </c>
      <c r="C5" s="42">
        <v>292.95</v>
      </c>
      <c r="D5" s="42">
        <v>9</v>
      </c>
      <c r="E5" s="42">
        <f t="shared" ref="E5:E9" si="0">C5*D5</f>
        <v>2636.5499999999997</v>
      </c>
      <c r="F5" s="46">
        <f t="shared" ref="F5:F9" si="1">E5/9.81</f>
        <v>268.7614678899082</v>
      </c>
    </row>
    <row r="6" spans="1:45" x14ac:dyDescent="0.25">
      <c r="A6" s="42">
        <v>4</v>
      </c>
      <c r="B6" s="46">
        <v>3.3</v>
      </c>
      <c r="C6" s="47">
        <v>284.64</v>
      </c>
      <c r="D6" s="42">
        <v>10</v>
      </c>
      <c r="E6" s="46">
        <f>C6*D6</f>
        <v>2846.3999999999996</v>
      </c>
      <c r="F6" s="46">
        <f t="shared" si="1"/>
        <v>290.15290519877669</v>
      </c>
    </row>
    <row r="7" spans="1:45" x14ac:dyDescent="0.25">
      <c r="A7" s="42">
        <v>3</v>
      </c>
      <c r="B7" s="46">
        <v>3.3</v>
      </c>
      <c r="C7" s="47">
        <v>284.64</v>
      </c>
      <c r="D7" s="42">
        <v>10</v>
      </c>
      <c r="E7" s="46">
        <f t="shared" si="0"/>
        <v>2846.3999999999996</v>
      </c>
      <c r="F7" s="46">
        <f t="shared" si="1"/>
        <v>290.15290519877669</v>
      </c>
    </row>
    <row r="8" spans="1:45" x14ac:dyDescent="0.25">
      <c r="A8" s="42">
        <v>2</v>
      </c>
      <c r="B8" s="46">
        <v>3.3</v>
      </c>
      <c r="C8" s="47">
        <v>284.64</v>
      </c>
      <c r="D8" s="42">
        <v>10</v>
      </c>
      <c r="E8" s="46">
        <f t="shared" si="0"/>
        <v>2846.3999999999996</v>
      </c>
      <c r="F8" s="46">
        <f t="shared" si="1"/>
        <v>290.15290519877669</v>
      </c>
    </row>
    <row r="9" spans="1:45" x14ac:dyDescent="0.25">
      <c r="A9" s="42">
        <v>1</v>
      </c>
      <c r="B9" s="46">
        <f>3.3+0.5</f>
        <v>3.8</v>
      </c>
      <c r="C9" s="47">
        <v>284.64</v>
      </c>
      <c r="D9" s="42">
        <v>10</v>
      </c>
      <c r="E9" s="46">
        <f t="shared" si="0"/>
        <v>2846.3999999999996</v>
      </c>
      <c r="F9" s="46">
        <f t="shared" si="1"/>
        <v>290.15290519877669</v>
      </c>
    </row>
    <row r="10" spans="1:45" x14ac:dyDescent="0.25">
      <c r="A10" s="42"/>
      <c r="B10" s="42"/>
      <c r="C10" s="47"/>
      <c r="D10" s="42"/>
      <c r="E10" s="42"/>
      <c r="F10" s="46"/>
    </row>
    <row r="11" spans="1:45" x14ac:dyDescent="0.25">
      <c r="A11" s="50" t="s">
        <v>17</v>
      </c>
      <c r="B11" s="50"/>
      <c r="C11" s="51">
        <f>SUM(C5:C10)</f>
        <v>1431.5099999999998</v>
      </c>
      <c r="D11" s="51"/>
      <c r="E11" s="51">
        <f>SUM(E5:E10)</f>
        <v>14022.149999999998</v>
      </c>
      <c r="F11" s="51">
        <f>SUM(F5:F10)</f>
        <v>1429.3730886850149</v>
      </c>
    </row>
    <row r="12" spans="1:45" x14ac:dyDescent="0.25">
      <c r="A12" s="2"/>
      <c r="B12" s="2"/>
      <c r="C12" s="2"/>
      <c r="D12" s="2"/>
      <c r="E12" s="2"/>
      <c r="F12" s="2"/>
    </row>
    <row r="13" spans="1:45" x14ac:dyDescent="0.25">
      <c r="A13" s="2"/>
      <c r="B13" s="2"/>
      <c r="C13" s="2"/>
      <c r="D13" s="2"/>
      <c r="E13" s="2"/>
      <c r="F13" s="2"/>
    </row>
    <row r="14" spans="1:45" ht="23.25" x14ac:dyDescent="0.25">
      <c r="A14" s="36" t="s">
        <v>67</v>
      </c>
      <c r="B14" s="37"/>
      <c r="C14" s="22" t="s">
        <v>7</v>
      </c>
      <c r="D14" s="22"/>
      <c r="E14" s="22"/>
      <c r="F14" s="2"/>
    </row>
    <row r="15" spans="1:4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</row>
    <row r="16" spans="1:45" x14ac:dyDescent="0.25">
      <c r="A16" s="44" t="s">
        <v>8</v>
      </c>
      <c r="B16" s="28">
        <v>7.4999999999999997E-2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</row>
    <row r="17" spans="1:45" x14ac:dyDescent="0.25">
      <c r="A17" s="44" t="s">
        <v>9</v>
      </c>
      <c r="B17" s="16">
        <f>SUM(B5:B9)</f>
        <v>16.3</v>
      </c>
      <c r="C17" s="2"/>
      <c r="D17" s="22"/>
      <c r="E17" s="2"/>
      <c r="F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</row>
    <row r="18" spans="1:45" x14ac:dyDescent="0.25">
      <c r="A18" s="55" t="s">
        <v>10</v>
      </c>
      <c r="B18" s="18">
        <f>B16*((B17)^(3/4))</f>
        <v>0.60841787749477116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</row>
    <row r="19" spans="1:4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</row>
    <row r="20" spans="1:45" ht="23.25" x14ac:dyDescent="0.35">
      <c r="A20" s="39" t="s">
        <v>69</v>
      </c>
      <c r="B20" s="40"/>
      <c r="C20" s="40"/>
      <c r="D20" s="7" t="s">
        <v>68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</row>
    <row r="21" spans="1:45" ht="23.25" x14ac:dyDescent="0.35">
      <c r="A21" s="33"/>
      <c r="B21" s="22"/>
      <c r="C21" s="22"/>
      <c r="D21" s="33"/>
      <c r="E21" s="22"/>
      <c r="F21" s="2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</row>
    <row r="22" spans="1:45" x14ac:dyDescent="0.25">
      <c r="A22" s="44" t="s">
        <v>13</v>
      </c>
      <c r="B22" s="174">
        <f>[1]Dati!$D$28</f>
        <v>0.13750758254727657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1:45" x14ac:dyDescent="0.25">
      <c r="A23" s="55" t="s">
        <v>12</v>
      </c>
      <c r="B23" s="149">
        <f>0.85*E11*B22</f>
        <v>1638.9291563229997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</row>
    <row r="24" spans="1:45" s="30" customFormat="1" x14ac:dyDescent="0.25">
      <c r="A24" s="2"/>
      <c r="B24" s="3"/>
      <c r="C24" s="2"/>
      <c r="D24" s="2"/>
      <c r="E24" s="2"/>
      <c r="F24" s="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</row>
    <row r="25" spans="1:45" ht="23.25" x14ac:dyDescent="0.35">
      <c r="A25" s="56" t="s">
        <v>70</v>
      </c>
      <c r="B25" s="57"/>
      <c r="C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</row>
    <row r="26" spans="1:4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1:45" x14ac:dyDescent="0.25">
      <c r="A27" s="58" t="s">
        <v>0</v>
      </c>
      <c r="B27" s="58" t="s">
        <v>18</v>
      </c>
      <c r="C27" s="59" t="s">
        <v>14</v>
      </c>
      <c r="D27" s="58" t="s">
        <v>15</v>
      </c>
      <c r="E27" s="60" t="s">
        <v>16</v>
      </c>
      <c r="F27" s="58" t="s">
        <v>19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 x14ac:dyDescent="0.25">
      <c r="A28" s="42" t="s">
        <v>1</v>
      </c>
      <c r="B28" s="46">
        <f>B29+2.3</f>
        <v>15.5</v>
      </c>
      <c r="C28" s="46">
        <f>E5</f>
        <v>2636.5499999999997</v>
      </c>
      <c r="D28" s="129">
        <f>C28*B28</f>
        <v>40866.524999999994</v>
      </c>
      <c r="E28" s="46">
        <f>($D28/$D$34)*$B$23</f>
        <v>496.87292081600617</v>
      </c>
      <c r="F28" s="46">
        <f>E28</f>
        <v>496.87292081600617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45" x14ac:dyDescent="0.25">
      <c r="A29" s="42">
        <v>4</v>
      </c>
      <c r="B29" s="46">
        <f>B30+3.3</f>
        <v>13.2</v>
      </c>
      <c r="C29" s="46">
        <f>E6</f>
        <v>2846.3999999999996</v>
      </c>
      <c r="D29" s="129">
        <f t="shared" ref="D29:D32" si="2">C29*B29</f>
        <v>37572.479999999996</v>
      </c>
      <c r="E29" s="46">
        <f>($D29/$D$34)*$B$23</f>
        <v>456.82249420279743</v>
      </c>
      <c r="F29" s="46">
        <f>E28+E29</f>
        <v>953.6954150188036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1:45" x14ac:dyDescent="0.25">
      <c r="A30" s="42">
        <v>3</v>
      </c>
      <c r="B30" s="46">
        <f>B31+3.3</f>
        <v>9.8999999999999986</v>
      </c>
      <c r="C30" s="46">
        <f>E7</f>
        <v>2846.3999999999996</v>
      </c>
      <c r="D30" s="129">
        <f t="shared" si="2"/>
        <v>28179.359999999993</v>
      </c>
      <c r="E30" s="46">
        <f>($D30/$D$34)*$B$23</f>
        <v>342.61687065209804</v>
      </c>
      <c r="F30" s="46">
        <f>F29+E30</f>
        <v>1296.3122856709017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45" x14ac:dyDescent="0.25">
      <c r="A31" s="42">
        <v>2</v>
      </c>
      <c r="B31" s="46">
        <f>B32+3.3</f>
        <v>6.6</v>
      </c>
      <c r="C31" s="46">
        <f>E8</f>
        <v>2846.3999999999996</v>
      </c>
      <c r="D31" s="129">
        <f t="shared" si="2"/>
        <v>18786.239999999998</v>
      </c>
      <c r="E31" s="46">
        <f>($D31/$D$34)*$B$23</f>
        <v>228.41124710139871</v>
      </c>
      <c r="F31" s="46">
        <f>F30+E31</f>
        <v>1524.7235327723004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1:45" x14ac:dyDescent="0.25">
      <c r="A32" s="42">
        <v>1</v>
      </c>
      <c r="B32" s="46">
        <f>3.3</f>
        <v>3.3</v>
      </c>
      <c r="C32" s="46">
        <f>E9</f>
        <v>2846.3999999999996</v>
      </c>
      <c r="D32" s="129">
        <f t="shared" si="2"/>
        <v>9393.119999999999</v>
      </c>
      <c r="E32" s="46">
        <f>($D32/$D$34)*$B$23</f>
        <v>114.20562355069936</v>
      </c>
      <c r="F32" s="46">
        <f>F31+E32</f>
        <v>1638.9291563229997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 x14ac:dyDescent="0.25">
      <c r="A33" s="42"/>
      <c r="B33" s="42"/>
      <c r="C33" s="42"/>
      <c r="D33" s="129"/>
      <c r="E33" s="42"/>
      <c r="F33" s="4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x14ac:dyDescent="0.25">
      <c r="A34" s="50" t="s">
        <v>17</v>
      </c>
      <c r="B34" s="44"/>
      <c r="C34" s="44">
        <f>SUM(C28:C32)</f>
        <v>14022.149999999998</v>
      </c>
      <c r="D34" s="173">
        <f>SUM(D28:D32)</f>
        <v>134797.72499999998</v>
      </c>
      <c r="E34" s="51">
        <f>SUM(E28:E32)</f>
        <v>1638.9291563229997</v>
      </c>
      <c r="F34" s="44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1:4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1:4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</row>
    <row r="39" spans="1:4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</row>
    <row r="40" spans="1:4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</row>
    <row r="41" spans="1:4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</row>
    <row r="42" spans="1:4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</row>
    <row r="43" spans="1:4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</row>
    <row r="44" spans="1:4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</row>
    <row r="45" spans="1:4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</row>
    <row r="46" spans="1:4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</row>
    <row r="47" spans="1:4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</row>
    <row r="48" spans="1:4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</row>
    <row r="49" spans="1:4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</row>
    <row r="50" spans="1:4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</row>
    <row r="51" spans="1:4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</row>
    <row r="52" spans="1:4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</row>
    <row r="53" spans="1:4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</row>
    <row r="54" spans="1:4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</row>
    <row r="55" spans="1:4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</row>
    <row r="56" spans="1:4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</row>
    <row r="57" spans="1:4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</row>
    <row r="58" spans="1:45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</row>
    <row r="59" spans="1:4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</row>
    <row r="60" spans="1:4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</row>
    <row r="61" spans="1:4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</row>
    <row r="62" spans="1:4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</row>
    <row r="63" spans="1:4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</row>
    <row r="64" spans="1:4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</row>
    <row r="65" spans="1:4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</row>
    <row r="66" spans="1:4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</row>
    <row r="67" spans="1:4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</row>
    <row r="68" spans="1:4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</row>
    <row r="69" spans="1:4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</row>
    <row r="70" spans="1:4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</row>
    <row r="71" spans="1:4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</row>
    <row r="72" spans="1:4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</row>
    <row r="73" spans="1:4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</row>
    <row r="74" spans="1:4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</row>
    <row r="75" spans="1:4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</row>
    <row r="76" spans="1:4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</row>
    <row r="77" spans="1:4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</row>
    <row r="78" spans="1:4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</row>
    <row r="79" spans="1:4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</row>
    <row r="80" spans="1:4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</row>
    <row r="81" spans="1:4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</row>
    <row r="82" spans="1:4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</row>
    <row r="83" spans="1:4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 spans="1:4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</row>
    <row r="85" spans="1:4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</row>
    <row r="86" spans="1:4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</row>
    <row r="87" spans="1:4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</row>
    <row r="88" spans="1:4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</row>
    <row r="89" spans="1:4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</row>
    <row r="90" spans="1:4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</row>
    <row r="91" spans="1:4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</row>
    <row r="92" spans="1:4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1:4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</row>
    <row r="94" spans="1:4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 spans="1:4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</row>
    <row r="96" spans="1:4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</row>
    <row r="97" spans="1:4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</row>
    <row r="98" spans="1:4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</row>
    <row r="99" spans="1:4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</row>
    <row r="100" spans="1:4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</row>
    <row r="101" spans="1:4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</row>
    <row r="102" spans="1:4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</row>
    <row r="103" spans="1:4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</row>
    <row r="104" spans="1:4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</row>
    <row r="105" spans="1:4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 spans="1:4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</row>
    <row r="107" spans="1:4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</row>
    <row r="108" spans="1:4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 spans="1:4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</row>
    <row r="110" spans="1:4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</row>
    <row r="111" spans="1:4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</row>
    <row r="112" spans="1:4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</row>
    <row r="113" spans="1:4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</row>
    <row r="114" spans="1:4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</row>
    <row r="115" spans="1:4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</row>
    <row r="116" spans="1:4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</row>
    <row r="117" spans="1:4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</row>
    <row r="118" spans="1:4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</row>
    <row r="119" spans="1:4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</row>
    <row r="120" spans="1:4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</row>
    <row r="121" spans="1:4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</row>
    <row r="122" spans="1:4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</row>
    <row r="123" spans="1:4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</row>
    <row r="124" spans="1:4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</row>
    <row r="125" spans="1:4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</row>
    <row r="126" spans="1:4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</row>
    <row r="127" spans="1:4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</row>
    <row r="128" spans="1:4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</row>
    <row r="129" spans="1:4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</row>
    <row r="130" spans="1:4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</row>
    <row r="131" spans="1:4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</row>
    <row r="132" spans="1:4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</row>
    <row r="133" spans="1:4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</row>
    <row r="134" spans="1:4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</row>
    <row r="135" spans="1:4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</row>
    <row r="136" spans="1:4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</row>
    <row r="137" spans="1:4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</row>
    <row r="138" spans="1:4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</row>
    <row r="139" spans="1:4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</row>
    <row r="140" spans="1:4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</row>
    <row r="141" spans="1:4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</row>
    <row r="142" spans="1:4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</row>
    <row r="143" spans="1:4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</row>
    <row r="144" spans="1:4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</row>
    <row r="145" spans="1:4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</row>
    <row r="146" spans="1:4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</row>
    <row r="147" spans="1:4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</row>
    <row r="148" spans="1:4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</row>
    <row r="149" spans="1:4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</row>
    <row r="150" spans="1:4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</row>
    <row r="151" spans="1:4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</row>
    <row r="152" spans="1:4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</row>
    <row r="153" spans="1:4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</row>
    <row r="154" spans="1:4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</row>
    <row r="155" spans="1:4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</row>
    <row r="156" spans="1:4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</row>
    <row r="157" spans="1:4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</row>
    <row r="158" spans="1:4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</row>
    <row r="159" spans="1:4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</row>
    <row r="160" spans="1:4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</row>
    <row r="161" spans="1:4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</row>
    <row r="162" spans="1:4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</row>
    <row r="163" spans="1:4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</row>
    <row r="164" spans="1:4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</row>
    <row r="165" spans="1:4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</row>
    <row r="166" spans="1:4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</row>
    <row r="167" spans="1:4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</row>
    <row r="168" spans="1:4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</row>
    <row r="169" spans="1:4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</row>
    <row r="170" spans="1:4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</row>
    <row r="171" spans="1:4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</row>
    <row r="172" spans="1:4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</row>
    <row r="173" spans="1:4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</row>
    <row r="174" spans="1:4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</row>
    <row r="175" spans="1:4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</row>
    <row r="176" spans="1:4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</row>
    <row r="177" spans="1:4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</row>
    <row r="178" spans="1:4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</row>
    <row r="179" spans="1:4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</row>
    <row r="180" spans="1:4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</row>
    <row r="181" spans="1:4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</row>
    <row r="182" spans="1:4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</row>
    <row r="183" spans="1:4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</row>
    <row r="184" spans="1:4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</row>
    <row r="185" spans="1:4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</row>
    <row r="186" spans="1:4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</row>
    <row r="187" spans="1:4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</row>
    <row r="188" spans="1:4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</row>
    <row r="189" spans="1:4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</row>
    <row r="190" spans="1:4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</row>
    <row r="191" spans="1:4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</row>
    <row r="192" spans="1:4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</row>
    <row r="193" spans="1:4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</row>
    <row r="194" spans="1:4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</row>
    <row r="195" spans="1:4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</row>
    <row r="196" spans="1:4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</row>
    <row r="197" spans="1:4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</row>
    <row r="198" spans="1:4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</row>
    <row r="199" spans="1:4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</row>
    <row r="200" spans="1:4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</row>
    <row r="201" spans="1:45" x14ac:dyDescent="0.25"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</row>
    <row r="202" spans="1:45" x14ac:dyDescent="0.25"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</row>
    <row r="203" spans="1:45" x14ac:dyDescent="0.25"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</row>
    <row r="204" spans="1:45" x14ac:dyDescent="0.25"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</row>
    <row r="205" spans="1:45" x14ac:dyDescent="0.25"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9"/>
  <sheetViews>
    <sheetView zoomScale="85" zoomScaleNormal="85" workbookViewId="0">
      <selection activeCell="F18" sqref="F18:F22"/>
    </sheetView>
  </sheetViews>
  <sheetFormatPr defaultRowHeight="15" x14ac:dyDescent="0.25"/>
  <cols>
    <col min="1" max="1" width="18.28515625" customWidth="1"/>
    <col min="2" max="2" width="18" customWidth="1"/>
    <col min="3" max="3" width="18.28515625" customWidth="1"/>
    <col min="4" max="4" width="18.42578125" customWidth="1"/>
    <col min="5" max="5" width="18.28515625" customWidth="1"/>
    <col min="6" max="7" width="18.42578125" customWidth="1"/>
    <col min="8" max="8" width="18.28515625" customWidth="1"/>
    <col min="9" max="9" width="18.140625" customWidth="1"/>
    <col min="10" max="10" width="18.42578125" customWidth="1"/>
    <col min="11" max="11" width="18.5703125" customWidth="1"/>
  </cols>
  <sheetData>
    <row r="1" spans="1:18" x14ac:dyDescent="0.25">
      <c r="A1" t="s">
        <v>23</v>
      </c>
    </row>
    <row r="2" spans="1:18" x14ac:dyDescent="0.25">
      <c r="B2" t="s">
        <v>24</v>
      </c>
      <c r="C2" t="s">
        <v>25</v>
      </c>
      <c r="D2" t="s">
        <v>6</v>
      </c>
    </row>
    <row r="3" spans="1:18" x14ac:dyDescent="0.25">
      <c r="A3" s="5"/>
      <c r="B3" s="2">
        <v>6</v>
      </c>
      <c r="C3" s="2">
        <v>4</v>
      </c>
      <c r="D3" s="2">
        <f>B3+C3</f>
        <v>10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68" customFormat="1" x14ac:dyDescent="0.25">
      <c r="A4" s="65" t="s">
        <v>64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1:1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s="1" customFormat="1" ht="30" x14ac:dyDescent="0.25">
      <c r="A6" s="66" t="s">
        <v>20</v>
      </c>
      <c r="B6" s="66" t="s">
        <v>21</v>
      </c>
      <c r="C6" s="66" t="s">
        <v>26</v>
      </c>
      <c r="D6" s="66" t="s">
        <v>27</v>
      </c>
      <c r="E6" s="66" t="s">
        <v>28</v>
      </c>
      <c r="F6" s="163" t="s">
        <v>30</v>
      </c>
      <c r="G6" s="67" t="s">
        <v>31</v>
      </c>
      <c r="H6" s="8"/>
      <c r="I6" s="9"/>
      <c r="J6" s="6"/>
      <c r="K6" s="6"/>
      <c r="L6" s="6"/>
      <c r="M6" s="6"/>
      <c r="N6" s="6"/>
      <c r="O6" s="6"/>
      <c r="P6" s="6"/>
      <c r="Q6" s="6"/>
      <c r="R6" s="6"/>
    </row>
    <row r="7" spans="1:18" x14ac:dyDescent="0.25">
      <c r="A7" s="42"/>
      <c r="B7" s="42"/>
      <c r="C7" s="42"/>
      <c r="D7" s="42"/>
      <c r="E7" s="42"/>
      <c r="F7" s="64"/>
      <c r="G7" s="64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25">
      <c r="A8" s="42" t="s">
        <v>22</v>
      </c>
      <c r="B8" s="46">
        <f>masse!F28</f>
        <v>496.87292081600617</v>
      </c>
      <c r="C8" s="46">
        <f>$B8/$D$3</f>
        <v>49.687292081600617</v>
      </c>
      <c r="D8" s="46">
        <f>$C8*0.7</f>
        <v>34.781104457120428</v>
      </c>
      <c r="E8" s="42">
        <f>0.5*masse!$B5</f>
        <v>1.3</v>
      </c>
      <c r="F8" s="46">
        <f>$E8*$C8</f>
        <v>64.593479706080799</v>
      </c>
      <c r="G8" s="46">
        <f>$D8*$E8</f>
        <v>45.215435794256557</v>
      </c>
      <c r="H8" s="3"/>
      <c r="I8" s="3"/>
      <c r="J8" s="2"/>
      <c r="K8" s="2"/>
      <c r="L8" s="2"/>
      <c r="M8" s="2"/>
      <c r="N8" s="2"/>
      <c r="O8" s="2"/>
      <c r="P8" s="2"/>
      <c r="Q8" s="2"/>
      <c r="R8" s="2"/>
    </row>
    <row r="9" spans="1:18" x14ac:dyDescent="0.25">
      <c r="A9" s="42">
        <v>4</v>
      </c>
      <c r="B9" s="46">
        <f>masse!F29</f>
        <v>953.6954150188036</v>
      </c>
      <c r="C9" s="46">
        <f>$B9/$D$3</f>
        <v>95.369541501880363</v>
      </c>
      <c r="D9" s="46">
        <f>$C9*0.7</f>
        <v>66.75867905131625</v>
      </c>
      <c r="E9" s="42">
        <f>0.5*masse!$B6</f>
        <v>1.65</v>
      </c>
      <c r="F9" s="46">
        <f>$E9*$C9</f>
        <v>157.35974347810259</v>
      </c>
      <c r="G9" s="46">
        <f>$D9*$E9</f>
        <v>110.15182043467181</v>
      </c>
      <c r="H9" s="3"/>
      <c r="I9" s="3"/>
      <c r="J9" s="2"/>
      <c r="K9" s="2"/>
      <c r="L9" s="2"/>
      <c r="M9" s="2"/>
      <c r="N9" s="2"/>
      <c r="O9" s="2"/>
      <c r="P9" s="2"/>
      <c r="Q9" s="2"/>
      <c r="R9" s="2"/>
    </row>
    <row r="10" spans="1:18" x14ac:dyDescent="0.25">
      <c r="A10" s="42">
        <v>3</v>
      </c>
      <c r="B10" s="46">
        <f>masse!F30</f>
        <v>1296.3122856709017</v>
      </c>
      <c r="C10" s="46">
        <f>$B10/$D$3</f>
        <v>129.63122856709018</v>
      </c>
      <c r="D10" s="46">
        <f>$C10*0.7</f>
        <v>90.741859996963115</v>
      </c>
      <c r="E10" s="42">
        <f>0.5*masse!$B7</f>
        <v>1.65</v>
      </c>
      <c r="F10" s="46">
        <f>$E10*$C10</f>
        <v>213.89152713569877</v>
      </c>
      <c r="G10" s="46">
        <f>$D10*$E10</f>
        <v>149.72406899498912</v>
      </c>
      <c r="H10" s="3"/>
      <c r="I10" s="3"/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25">
      <c r="A11" s="42">
        <v>2</v>
      </c>
      <c r="B11" s="46">
        <f>masse!F31</f>
        <v>1524.7235327723004</v>
      </c>
      <c r="C11" s="46">
        <f>$B11/$D$3</f>
        <v>152.47235327723004</v>
      </c>
      <c r="D11" s="46">
        <f>$C11*0.7</f>
        <v>106.73064729406103</v>
      </c>
      <c r="E11" s="42">
        <f>0.5*masse!$B8</f>
        <v>1.65</v>
      </c>
      <c r="F11" s="46">
        <f>$E11*$C11</f>
        <v>251.57938290742956</v>
      </c>
      <c r="G11" s="46">
        <f>$D11*$E11</f>
        <v>176.10556803520069</v>
      </c>
      <c r="H11" s="3"/>
      <c r="I11" s="3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25">
      <c r="A12" s="42">
        <v>1</v>
      </c>
      <c r="B12" s="46">
        <f>masse!F32</f>
        <v>1638.9291563229997</v>
      </c>
      <c r="C12" s="46">
        <f>$B12/$D$3</f>
        <v>163.89291563229997</v>
      </c>
      <c r="D12" s="46">
        <f>$C12*0.7</f>
        <v>114.72504094260998</v>
      </c>
      <c r="E12" s="42">
        <f>0.4*masse!$B9</f>
        <v>1.52</v>
      </c>
      <c r="F12" s="46">
        <f>$E12*$C12</f>
        <v>249.11723176109595</v>
      </c>
      <c r="G12" s="46">
        <f>$D12*$E12</f>
        <v>174.38206223276717</v>
      </c>
      <c r="H12" s="3"/>
      <c r="I12" s="3"/>
      <c r="J12" s="2"/>
      <c r="K12" s="2"/>
      <c r="L12" s="2"/>
      <c r="M12" s="2"/>
      <c r="N12" s="2"/>
      <c r="O12" s="2"/>
      <c r="P12" s="2"/>
      <c r="Q12" s="2"/>
      <c r="R12" s="2"/>
    </row>
    <row r="13" spans="1:18" x14ac:dyDescent="0.25">
      <c r="A13" s="44" t="s">
        <v>29</v>
      </c>
      <c r="B13" s="81"/>
      <c r="C13" s="82"/>
      <c r="D13" s="83"/>
      <c r="E13" s="51">
        <f>0.6*masse!B9</f>
        <v>2.2799999999999998</v>
      </c>
      <c r="F13" s="51">
        <f>$E13*C12</f>
        <v>373.67584764164388</v>
      </c>
      <c r="G13" s="51">
        <f>D12*$E13</f>
        <v>261.57309334915072</v>
      </c>
      <c r="H13" s="3"/>
      <c r="I13" s="3"/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s="71" customFormat="1" x14ac:dyDescent="0.25">
      <c r="A15" s="69" t="s">
        <v>34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</row>
    <row r="16" spans="1:18" s="30" customFormat="1" x14ac:dyDescent="0.25">
      <c r="A16" s="76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51" ht="30" x14ac:dyDescent="0.25">
      <c r="A17" s="253" t="s">
        <v>20</v>
      </c>
      <c r="B17" s="73"/>
      <c r="C17" s="77" t="s">
        <v>35</v>
      </c>
      <c r="D17" s="78" t="s">
        <v>36</v>
      </c>
      <c r="E17" s="73"/>
      <c r="F17" s="77" t="s">
        <v>75</v>
      </c>
      <c r="G17" s="77" t="s">
        <v>76</v>
      </c>
      <c r="H17" s="78" t="s">
        <v>38</v>
      </c>
      <c r="I17" s="221" t="s">
        <v>37</v>
      </c>
      <c r="J17" s="220" t="s">
        <v>80</v>
      </c>
      <c r="K17" s="2"/>
      <c r="L17" s="2"/>
      <c r="M17" s="2"/>
      <c r="N17" s="2"/>
      <c r="O17" s="2"/>
      <c r="P17" s="2"/>
      <c r="Q17" s="2"/>
      <c r="R17" s="2"/>
    </row>
    <row r="18" spans="1:51" x14ac:dyDescent="0.25">
      <c r="A18" s="41" t="s">
        <v>22</v>
      </c>
      <c r="B18" s="41"/>
      <c r="C18" s="63">
        <f>(2*F18)/$I$18</f>
        <v>16.562430693866872</v>
      </c>
      <c r="D18" s="63">
        <f>(2*G18)/$I$18</f>
        <v>11.593701485706809</v>
      </c>
      <c r="E18" s="41"/>
      <c r="F18" s="72">
        <f>F8/2</f>
        <v>32.2967398530404</v>
      </c>
      <c r="G18" s="63">
        <f>G8/2</f>
        <v>22.607717897128278</v>
      </c>
      <c r="H18" s="63">
        <f>C18</f>
        <v>16.562430693866872</v>
      </c>
      <c r="I18" s="93">
        <v>3.9</v>
      </c>
      <c r="J18" s="51">
        <f>D18</f>
        <v>11.593701485706809</v>
      </c>
      <c r="K18" s="2"/>
      <c r="L18" s="2"/>
      <c r="M18" s="2"/>
      <c r="N18" s="2"/>
      <c r="O18" s="2"/>
      <c r="P18" s="2"/>
      <c r="Q18" s="2"/>
      <c r="R18" s="2"/>
    </row>
    <row r="19" spans="1:51" x14ac:dyDescent="0.25">
      <c r="A19" s="42">
        <v>4</v>
      </c>
      <c r="B19" s="42"/>
      <c r="C19" s="46">
        <f>((2*F19)/$I$18)</f>
        <v>56.911082867739331</v>
      </c>
      <c r="D19" s="46">
        <f>(2*G19)/$I$18</f>
        <v>39.837758007417534</v>
      </c>
      <c r="E19" s="42"/>
      <c r="F19" s="46">
        <f>($F8+$F9)/2</f>
        <v>110.9766115920917</v>
      </c>
      <c r="G19" s="46">
        <f>($G8+$G9)/2</f>
        <v>77.683628114464184</v>
      </c>
      <c r="H19" s="46">
        <f>$C18+$C19</f>
        <v>73.473513561606211</v>
      </c>
      <c r="I19" s="2"/>
      <c r="J19" s="51">
        <f>$D18+$D19</f>
        <v>51.431459493124343</v>
      </c>
      <c r="K19" s="2"/>
      <c r="L19" s="2"/>
      <c r="M19" s="2"/>
      <c r="N19" s="2"/>
      <c r="O19" s="2"/>
      <c r="P19" s="2"/>
      <c r="Q19" s="2"/>
      <c r="R19" s="2"/>
    </row>
    <row r="20" spans="1:51" x14ac:dyDescent="0.25">
      <c r="A20" s="42">
        <v>3</v>
      </c>
      <c r="B20" s="42"/>
      <c r="C20" s="46">
        <f>((2*F20)/$I$18)</f>
        <v>95.192633490718293</v>
      </c>
      <c r="D20" s="46">
        <f>(2*G20)/$I$18</f>
        <v>66.634843443502803</v>
      </c>
      <c r="E20" s="42"/>
      <c r="F20" s="46">
        <f>($F9+$F10)/2</f>
        <v>185.62563530690068</v>
      </c>
      <c r="G20" s="46">
        <f t="shared" ref="G20:G22" si="0">($G9+$G10)/2</f>
        <v>129.93794471483045</v>
      </c>
      <c r="H20" s="46">
        <f>$C19+$C20</f>
        <v>152.10371635845763</v>
      </c>
      <c r="I20" s="2"/>
      <c r="J20" s="51">
        <f>$D19+$D20</f>
        <v>106.47260145092034</v>
      </c>
      <c r="K20" s="2"/>
      <c r="L20" s="2"/>
      <c r="M20" s="2"/>
      <c r="N20" s="2"/>
      <c r="O20" s="2"/>
      <c r="P20" s="2"/>
      <c r="Q20" s="2"/>
      <c r="R20" s="2"/>
    </row>
    <row r="21" spans="1:51" x14ac:dyDescent="0.25">
      <c r="A21" s="42">
        <v>2</v>
      </c>
      <c r="B21" s="42"/>
      <c r="C21" s="46">
        <f>((2*F21)/$I$18)</f>
        <v>119.35151539567394</v>
      </c>
      <c r="D21" s="46">
        <f>(2*G21)/$I$18</f>
        <v>83.546060776971743</v>
      </c>
      <c r="E21" s="42"/>
      <c r="F21" s="46">
        <f>($F10+$F11)/2</f>
        <v>232.73545502156418</v>
      </c>
      <c r="G21" s="46">
        <f t="shared" si="0"/>
        <v>162.91481851509491</v>
      </c>
      <c r="H21" s="46">
        <f>$C20+$C21</f>
        <v>214.54414888639224</v>
      </c>
      <c r="I21" s="2"/>
      <c r="J21" s="51">
        <f>$D20+$D21</f>
        <v>150.18090422047453</v>
      </c>
      <c r="K21" s="2"/>
      <c r="L21" s="2"/>
      <c r="M21" s="2"/>
      <c r="N21" s="2"/>
      <c r="O21" s="2"/>
      <c r="P21" s="2"/>
      <c r="Q21" s="2"/>
      <c r="R21" s="2"/>
    </row>
    <row r="22" spans="1:51" x14ac:dyDescent="0.25">
      <c r="A22" s="42">
        <v>1</v>
      </c>
      <c r="B22" s="42"/>
      <c r="C22" s="46">
        <f>((2*F22)/$I$18)</f>
        <v>128.38374735090397</v>
      </c>
      <c r="D22" s="46">
        <f>(2*G22)/$I$18</f>
        <v>89.868623145632782</v>
      </c>
      <c r="E22" s="42"/>
      <c r="F22" s="46">
        <f>($F11+$F12)/2</f>
        <v>250.34830733426276</v>
      </c>
      <c r="G22" s="46">
        <f t="shared" si="0"/>
        <v>175.24381513398393</v>
      </c>
      <c r="H22" s="46">
        <f>$C21+$C22</f>
        <v>247.73526274657792</v>
      </c>
      <c r="I22" s="2"/>
      <c r="J22" s="51">
        <f>$D21+$D22</f>
        <v>173.41468392260452</v>
      </c>
      <c r="K22" s="2"/>
      <c r="L22" s="2"/>
      <c r="M22" s="2"/>
      <c r="N22" s="2"/>
      <c r="O22" s="2"/>
      <c r="P22" s="2"/>
      <c r="Q22" s="2"/>
      <c r="R22" s="2"/>
    </row>
    <row r="23" spans="1:51" s="30" customFormat="1" x14ac:dyDescent="0.25">
      <c r="A23" s="74" t="s">
        <v>29</v>
      </c>
      <c r="B23" s="84"/>
      <c r="C23" s="82"/>
      <c r="D23" s="82"/>
      <c r="E23" s="85"/>
      <c r="F23" s="82"/>
      <c r="G23" s="82"/>
      <c r="H23" s="83"/>
      <c r="I23" s="22"/>
      <c r="J23" s="3"/>
      <c r="K23" s="22"/>
      <c r="L23" s="22"/>
      <c r="M23" s="22"/>
      <c r="N23" s="22"/>
      <c r="O23" s="22"/>
      <c r="P23" s="22"/>
      <c r="Q23" s="22"/>
      <c r="R23" s="22"/>
    </row>
    <row r="24" spans="1:5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5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51" s="10" customFormat="1" ht="30" x14ac:dyDescent="0.25">
      <c r="A26" s="79" t="s">
        <v>39</v>
      </c>
      <c r="B26" s="11"/>
      <c r="C26" s="11"/>
      <c r="D26" s="11"/>
      <c r="E26" s="11"/>
      <c r="F26" s="11"/>
      <c r="G26" s="12"/>
      <c r="H26" s="95" t="s">
        <v>40</v>
      </c>
      <c r="I26" s="96"/>
      <c r="J26" s="97"/>
      <c r="K26" s="76"/>
      <c r="L26" s="20"/>
      <c r="M26" s="20"/>
      <c r="N26" s="20"/>
      <c r="O26" s="20"/>
      <c r="P26" s="20"/>
      <c r="Q26" s="20"/>
      <c r="R26" s="20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</row>
    <row r="27" spans="1:51" x14ac:dyDescent="0.25">
      <c r="A27" s="13"/>
      <c r="B27" s="14"/>
      <c r="C27" s="14"/>
      <c r="D27" s="14"/>
      <c r="E27" s="14"/>
      <c r="F27" s="14"/>
      <c r="G27" s="15"/>
      <c r="H27" s="13"/>
      <c r="I27" s="14"/>
      <c r="J27" s="15"/>
    </row>
    <row r="28" spans="1:51" ht="30" x14ac:dyDescent="0.25">
      <c r="A28" s="255" t="s">
        <v>181</v>
      </c>
      <c r="B28" s="61" t="s">
        <v>26</v>
      </c>
      <c r="C28" s="61" t="s">
        <v>27</v>
      </c>
      <c r="D28" s="254" t="s">
        <v>30</v>
      </c>
      <c r="E28" s="62" t="s">
        <v>31</v>
      </c>
      <c r="F28" s="61" t="s">
        <v>32</v>
      </c>
      <c r="G28" s="61" t="s">
        <v>33</v>
      </c>
      <c r="H28" s="101"/>
      <c r="I28" s="98" t="s">
        <v>30</v>
      </c>
      <c r="J28" s="99" t="s">
        <v>31</v>
      </c>
    </row>
    <row r="29" spans="1:51" x14ac:dyDescent="0.25">
      <c r="A29" s="41" t="s">
        <v>22</v>
      </c>
      <c r="B29" s="63">
        <f>$C8*(1+0.2)</f>
        <v>59.624750497920736</v>
      </c>
      <c r="C29" s="63">
        <f>$D8*(1+0.2)</f>
        <v>41.737325348544509</v>
      </c>
      <c r="D29" s="63">
        <f t="shared" ref="D29:D34" si="1">$F8*(1+0.2)</f>
        <v>77.512175647296957</v>
      </c>
      <c r="E29" s="63">
        <f t="shared" ref="E29:E34" si="2">$G8*(1+0.2)</f>
        <v>54.258522953107864</v>
      </c>
      <c r="F29" s="63">
        <f>$F18*(1+0.2)</f>
        <v>38.756087823648478</v>
      </c>
      <c r="G29" s="63">
        <f>$G18*(1+0.2)</f>
        <v>27.129261476553932</v>
      </c>
      <c r="H29" s="41" t="s">
        <v>22</v>
      </c>
      <c r="I29" s="102">
        <f>$D29*1.3</f>
        <v>100.76582834148604</v>
      </c>
      <c r="J29" s="103">
        <f>$E29*1.3</f>
        <v>70.536079839040227</v>
      </c>
    </row>
    <row r="30" spans="1:51" x14ac:dyDescent="0.25">
      <c r="A30" s="42">
        <v>4</v>
      </c>
      <c r="B30" s="46">
        <f>$C9*(1+0.2)</f>
        <v>114.44344980225644</v>
      </c>
      <c r="C30" s="46">
        <f>$D9*(1+0.2)</f>
        <v>80.1104148615795</v>
      </c>
      <c r="D30" s="46">
        <f t="shared" si="1"/>
        <v>188.8316921737231</v>
      </c>
      <c r="E30" s="46">
        <f t="shared" si="2"/>
        <v>132.18218452160616</v>
      </c>
      <c r="F30" s="46">
        <f>$F19*(1+0.2)</f>
        <v>133.17193391051003</v>
      </c>
      <c r="G30" s="46">
        <f>$G19*(1+0.2)</f>
        <v>93.220353737357016</v>
      </c>
      <c r="H30" s="42">
        <v>4</v>
      </c>
      <c r="I30" s="102">
        <f t="shared" ref="I30:I32" si="3">$D30*1.3</f>
        <v>245.48119982584004</v>
      </c>
      <c r="J30" s="103">
        <f t="shared" ref="J30:J33" si="4">$E30*1.3</f>
        <v>171.83683987808803</v>
      </c>
    </row>
    <row r="31" spans="1:51" x14ac:dyDescent="0.25">
      <c r="A31" s="42">
        <v>3</v>
      </c>
      <c r="B31" s="46">
        <f>$C10*(1+0.2)</f>
        <v>155.55747428050822</v>
      </c>
      <c r="C31" s="46">
        <f>$D10*(1+0.2)</f>
        <v>108.89023199635574</v>
      </c>
      <c r="D31" s="46">
        <f t="shared" si="1"/>
        <v>256.66983256283851</v>
      </c>
      <c r="E31" s="46">
        <f t="shared" si="2"/>
        <v>179.66888279398694</v>
      </c>
      <c r="F31" s="46">
        <f>$F20*(1+0.2)</f>
        <v>222.75076236828082</v>
      </c>
      <c r="G31" s="46">
        <f>$G20*(1+0.2)</f>
        <v>155.92553365779654</v>
      </c>
      <c r="H31" s="42">
        <v>3</v>
      </c>
      <c r="I31" s="102">
        <f t="shared" si="3"/>
        <v>333.67078233169008</v>
      </c>
      <c r="J31" s="103">
        <f t="shared" si="4"/>
        <v>233.56954763218303</v>
      </c>
    </row>
    <row r="32" spans="1:51" x14ac:dyDescent="0.25">
      <c r="A32" s="42">
        <v>2</v>
      </c>
      <c r="B32" s="46">
        <f>$C11*(1+0.2)</f>
        <v>182.96682393267605</v>
      </c>
      <c r="C32" s="46">
        <f>$D11*(1+0.2)</f>
        <v>128.07677675287323</v>
      </c>
      <c r="D32" s="46">
        <f t="shared" si="1"/>
        <v>301.89525948891549</v>
      </c>
      <c r="E32" s="46">
        <f t="shared" si="2"/>
        <v>211.32668164224083</v>
      </c>
      <c r="F32" s="46">
        <f>$F21*(1+0.2)</f>
        <v>279.28254602587702</v>
      </c>
      <c r="G32" s="46">
        <f>$G21*(1+0.2)</f>
        <v>195.49778221811388</v>
      </c>
      <c r="H32" s="42">
        <v>2</v>
      </c>
      <c r="I32" s="102">
        <f t="shared" si="3"/>
        <v>392.46383733559014</v>
      </c>
      <c r="J32" s="103">
        <f t="shared" si="4"/>
        <v>274.7246861349131</v>
      </c>
    </row>
    <row r="33" spans="1:11" x14ac:dyDescent="0.25">
      <c r="A33" s="42">
        <v>1</v>
      </c>
      <c r="B33" s="46">
        <f>$C12*(1+0.2)</f>
        <v>196.67149875875995</v>
      </c>
      <c r="C33" s="46">
        <f>$D12*(1+0.2)</f>
        <v>137.67004913113198</v>
      </c>
      <c r="D33" s="46">
        <f t="shared" si="1"/>
        <v>298.94067811331513</v>
      </c>
      <c r="E33" s="46">
        <f t="shared" si="2"/>
        <v>209.25847467932059</v>
      </c>
      <c r="F33" s="46">
        <f>$F22*(1+0.2)</f>
        <v>300.41796880111531</v>
      </c>
      <c r="G33" s="46">
        <f>$G22*(1+0.2)</f>
        <v>210.29257816078072</v>
      </c>
      <c r="H33" s="43">
        <v>1</v>
      </c>
      <c r="I33" s="104">
        <f>$D33*1.3</f>
        <v>388.6228815473097</v>
      </c>
      <c r="J33" s="103">
        <f t="shared" si="4"/>
        <v>272.03601708311675</v>
      </c>
    </row>
    <row r="34" spans="1:11" x14ac:dyDescent="0.25">
      <c r="A34" s="44" t="s">
        <v>29</v>
      </c>
      <c r="B34" s="87"/>
      <c r="C34" s="88"/>
      <c r="D34" s="51">
        <f t="shared" si="1"/>
        <v>448.41101716997264</v>
      </c>
      <c r="E34" s="51">
        <f t="shared" si="2"/>
        <v>313.88771201898084</v>
      </c>
      <c r="F34" s="87"/>
      <c r="G34" s="88"/>
      <c r="H34" s="44" t="s">
        <v>29</v>
      </c>
      <c r="I34" s="100">
        <f>$D34</f>
        <v>448.41101716997264</v>
      </c>
      <c r="J34" s="89">
        <f>$E34</f>
        <v>313.88771201898084</v>
      </c>
    </row>
    <row r="35" spans="1:11" x14ac:dyDescent="0.25">
      <c r="C35" s="4"/>
    </row>
    <row r="36" spans="1:11" x14ac:dyDescent="0.25">
      <c r="A36" s="110" t="s">
        <v>41</v>
      </c>
      <c r="B36" s="111"/>
    </row>
    <row r="37" spans="1:11" ht="45" x14ac:dyDescent="0.25">
      <c r="A37" s="108" t="s">
        <v>46</v>
      </c>
      <c r="B37" s="109" t="s">
        <v>182</v>
      </c>
      <c r="C37" s="108" t="s">
        <v>183</v>
      </c>
      <c r="D37" s="108" t="s">
        <v>184</v>
      </c>
      <c r="E37" s="108" t="s">
        <v>185</v>
      </c>
      <c r="F37" s="2"/>
      <c r="G37" s="2"/>
      <c r="H37" s="2"/>
      <c r="I37" s="2"/>
      <c r="J37" s="2"/>
    </row>
    <row r="38" spans="1:11" x14ac:dyDescent="0.25">
      <c r="A38" s="45"/>
      <c r="B38" s="42"/>
      <c r="C38" s="42"/>
      <c r="D38" s="42"/>
      <c r="E38" s="42"/>
      <c r="F38" s="2"/>
      <c r="G38" s="2"/>
      <c r="H38" s="2"/>
      <c r="I38" s="2"/>
      <c r="J38" s="2"/>
    </row>
    <row r="39" spans="1:11" x14ac:dyDescent="0.25">
      <c r="A39" s="45" t="s">
        <v>42</v>
      </c>
      <c r="B39" s="46">
        <f>((3.6*3.6)/4)*1.1</f>
        <v>3.5640000000000005</v>
      </c>
      <c r="C39" s="125">
        <f>((5.5*3.5)*1.2+(5.5*3.5)*1.1)/4</f>
        <v>11.06875</v>
      </c>
      <c r="D39" s="46">
        <f>((4.2*3.8)*1.2+(4.8*3.5)*1.2+(((4.4+3.5)*4)/2)*1.2)/4</f>
        <v>14.568</v>
      </c>
      <c r="E39" s="129">
        <f>((5.3*4.4)*1.2+(5.6*4.4)*1.1)/4</f>
        <v>13.772</v>
      </c>
      <c r="F39" s="2"/>
      <c r="G39" s="2"/>
      <c r="H39" s="2"/>
      <c r="I39" s="2"/>
      <c r="J39" s="2"/>
    </row>
    <row r="40" spans="1:11" x14ac:dyDescent="0.25">
      <c r="A40" s="45" t="s">
        <v>34</v>
      </c>
      <c r="B40" s="42">
        <f>3.65*1.1</f>
        <v>4.0150000000000006</v>
      </c>
      <c r="C40" s="130">
        <f>((5+5.3)/2)*1.1</f>
        <v>5.6650000000000009</v>
      </c>
      <c r="D40" s="42">
        <f>((4.3+4.5)*1.2)/2</f>
        <v>5.28</v>
      </c>
      <c r="E40" s="46">
        <f>(5.2*1.2+5.3*1.1)/2</f>
        <v>6.0350000000000001</v>
      </c>
      <c r="F40" s="2"/>
      <c r="G40" s="2"/>
      <c r="H40" s="2"/>
      <c r="I40" s="2"/>
      <c r="J40" s="2"/>
    </row>
    <row r="41" spans="1:11" x14ac:dyDescent="0.25">
      <c r="A41" s="45" t="s">
        <v>43</v>
      </c>
      <c r="B41" s="42">
        <f>B40</f>
        <v>4.0150000000000006</v>
      </c>
      <c r="C41" s="129">
        <f>C40</f>
        <v>5.6650000000000009</v>
      </c>
      <c r="D41" s="42">
        <v>0</v>
      </c>
      <c r="E41" s="46">
        <f>E40</f>
        <v>6.0350000000000001</v>
      </c>
      <c r="F41" s="2"/>
      <c r="G41" s="2"/>
      <c r="H41" s="2"/>
      <c r="I41" s="2"/>
      <c r="J41" s="2"/>
    </row>
    <row r="42" spans="1:11" x14ac:dyDescent="0.25">
      <c r="A42" s="45" t="s">
        <v>44</v>
      </c>
      <c r="B42" s="42">
        <v>0</v>
      </c>
      <c r="C42" s="42">
        <f>3.95</f>
        <v>3.95</v>
      </c>
      <c r="D42" s="42">
        <v>0</v>
      </c>
      <c r="E42" s="42">
        <v>0</v>
      </c>
      <c r="F42" s="2"/>
      <c r="G42" s="2"/>
      <c r="H42" s="2"/>
      <c r="I42" s="2"/>
      <c r="J42" s="2"/>
    </row>
    <row r="43" spans="1:11" x14ac:dyDescent="0.25">
      <c r="A43" s="106" t="s">
        <v>45</v>
      </c>
      <c r="B43" s="43">
        <v>0</v>
      </c>
      <c r="C43" s="43">
        <v>0</v>
      </c>
      <c r="D43" s="48">
        <f>(4.5*4.3)*1.2/4</f>
        <v>5.8049999999999988</v>
      </c>
      <c r="E43" s="43">
        <v>0</v>
      </c>
      <c r="F43" s="2"/>
      <c r="G43" s="2"/>
      <c r="H43" s="2"/>
      <c r="I43" s="2"/>
      <c r="J43" s="2"/>
    </row>
    <row r="45" spans="1:11" x14ac:dyDescent="0.25">
      <c r="A45" s="13"/>
      <c r="B45" s="27"/>
      <c r="C45" s="27"/>
      <c r="D45" s="27"/>
      <c r="E45" s="25"/>
      <c r="F45" s="2"/>
      <c r="G45" s="2"/>
      <c r="H45" s="2"/>
      <c r="I45" s="2"/>
      <c r="J45" s="2"/>
    </row>
    <row r="46" spans="1:11" ht="50.25" customHeight="1" x14ac:dyDescent="0.25">
      <c r="A46" s="128" t="s">
        <v>89</v>
      </c>
      <c r="B46" s="132">
        <f>B$39*'CARICHI UNITARI'!$C$3+B$40*'CARICHI UNITARI'!$C$4+B$41*'CARICHI UNITARI'!$C$5+B$42*'CARICHI UNITARI'!$C$6+B$43*'CARICHI UNITARI'!$C$7</f>
        <v>91.985300000000009</v>
      </c>
      <c r="C46" s="122">
        <f>C$39*'CARICHI UNITARI'!$C$3+C$40*'CARICHI UNITARI'!$C$4+C$41*'CARICHI UNITARI'!$C$5+C$42*'CARICHI UNITARI'!$C$6+C$43*'CARICHI UNITARI'!$C$7</f>
        <v>232.61637500000001</v>
      </c>
      <c r="D46" s="122">
        <f>D$39*'CARICHI UNITARI'!$C$3+D$40*'CARICHI UNITARI'!$C$4+D$41*'CARICHI UNITARI'!$C$5+D$42*'CARICHI UNITARI'!$C$6+D$43*'CARICHI UNITARI'!$C$7</f>
        <v>241.32810000000001</v>
      </c>
      <c r="E46" s="122">
        <f>E$39*'CARICHI UNITARI'!$C$3+E$40*'CARICHI UNITARI'!$C$4+E$41*'CARICHI UNITARI'!$C$5+E$42*'CARICHI UNITARI'!$C$6+E$43*'CARICHI UNITARI'!$C$7</f>
        <v>219.88889999999998</v>
      </c>
      <c r="F46" s="2"/>
      <c r="G46" s="128" t="s">
        <v>91</v>
      </c>
      <c r="H46" s="132">
        <f>B46*GEOMETRIA!$C$1</f>
        <v>459.92650000000003</v>
      </c>
      <c r="I46" s="132">
        <f>C46*GEOMETRIA!$C$1</f>
        <v>1163.0818750000001</v>
      </c>
      <c r="J46" s="132">
        <f>D46*GEOMETRIA!$C$1</f>
        <v>1206.6405</v>
      </c>
      <c r="K46" s="132">
        <f>E46*GEOMETRIA!$C$1</f>
        <v>1099.4444999999998</v>
      </c>
    </row>
    <row r="47" spans="1:11" ht="45" x14ac:dyDescent="0.25">
      <c r="A47" s="128" t="s">
        <v>88</v>
      </c>
      <c r="B47" s="132">
        <f>sollecitazioni!B$39*'CARICHI UNITARI'!$B$3+B$40*'CARICHI UNITARI'!$B$4+B$41*'CARICHI UNITARI'!$B$5+B$42*'CARICHI UNITARI'!$B$6+B$43*'CARICHI UNITARI'!$B$7+'CARICHI UNITARI'!$C$8</f>
        <v>64.123400000000004</v>
      </c>
      <c r="C47" s="132">
        <f>sollecitazioni!C$39*'CARICHI UNITARI'!$B$3+C$40*'CARICHI UNITARI'!$B$4+C$41*'CARICHI UNITARI'!$B$5+C$42*'CARICHI UNITARI'!$B$6+C$43*'CARICHI UNITARI'!$B$7+'CARICHI UNITARI'!$C$8</f>
        <v>149.58000000000001</v>
      </c>
      <c r="D47" s="132">
        <f>sollecitazioni!D$39*'CARICHI UNITARI'!$B$3+D$40*'CARICHI UNITARI'!$B$4+D$41*'CARICHI UNITARI'!$B$5+D$42*'CARICHI UNITARI'!$B$6+D$43*'CARICHI UNITARI'!$B$7+'CARICHI UNITARI'!$C$8</f>
        <v>145.65780000000001</v>
      </c>
      <c r="E47" s="132">
        <f>sollecitazioni!E$39*'CARICHI UNITARI'!$B$3+E$40*'CARICHI UNITARI'!$B$4+E$41*'CARICHI UNITARI'!$B$5+E$42*'CARICHI UNITARI'!$B$6+E$43*'CARICHI UNITARI'!$B$7+'CARICHI UNITARI'!$C$8</f>
        <v>143.50819999999999</v>
      </c>
      <c r="G47" s="128" t="s">
        <v>92</v>
      </c>
      <c r="H47" s="132">
        <f>B47*GEOMETRIA!$C$1</f>
        <v>320.61700000000002</v>
      </c>
      <c r="I47" s="132">
        <f>C47*GEOMETRIA!$C$1</f>
        <v>747.90000000000009</v>
      </c>
      <c r="J47" s="132">
        <f>D47*GEOMETRIA!$C$1</f>
        <v>728.28899999999999</v>
      </c>
      <c r="K47" s="132">
        <f>E47*GEOMETRIA!$C$1</f>
        <v>717.54099999999994</v>
      </c>
    </row>
    <row r="48" spans="1:11" x14ac:dyDescent="0.25">
      <c r="A48" s="13"/>
      <c r="B48" s="27"/>
      <c r="C48" s="27"/>
      <c r="D48" s="27"/>
      <c r="E48" s="27"/>
    </row>
    <row r="49" spans="1:8" x14ac:dyDescent="0.25">
      <c r="A49" s="113" t="s">
        <v>83</v>
      </c>
      <c r="B49" s="114"/>
    </row>
    <row r="50" spans="1:8" ht="44.25" customHeight="1" x14ac:dyDescent="0.25">
      <c r="A50" s="117" t="s">
        <v>84</v>
      </c>
      <c r="B50" s="117" t="s">
        <v>194</v>
      </c>
      <c r="C50" s="117" t="s">
        <v>193</v>
      </c>
      <c r="D50" s="117" t="s">
        <v>195</v>
      </c>
      <c r="F50" s="117" t="s">
        <v>85</v>
      </c>
      <c r="G50" s="117" t="s">
        <v>196</v>
      </c>
      <c r="H50" s="117" t="s">
        <v>197</v>
      </c>
    </row>
    <row r="51" spans="1:8" x14ac:dyDescent="0.25">
      <c r="A51" s="45"/>
      <c r="B51" s="42"/>
      <c r="C51" s="46"/>
      <c r="D51" s="45"/>
      <c r="F51" s="45"/>
      <c r="G51" s="42"/>
      <c r="H51" s="42"/>
    </row>
    <row r="52" spans="1:8" x14ac:dyDescent="0.25">
      <c r="A52" s="45" t="s">
        <v>42</v>
      </c>
      <c r="B52" s="46">
        <f>(5.5*1.1+5.2*1.2)/2</f>
        <v>6.1450000000000005</v>
      </c>
      <c r="C52" s="42">
        <f>(3.5*1.1)/2</f>
        <v>1.9250000000000003</v>
      </c>
      <c r="D52" s="46">
        <f>(5.5*1.1)/2</f>
        <v>3.0250000000000004</v>
      </c>
      <c r="F52" s="45" t="s">
        <v>42</v>
      </c>
      <c r="G52" s="46">
        <f>(5.5*1.2+5.5*1.1)/2</f>
        <v>6.3250000000000002</v>
      </c>
      <c r="H52" s="119">
        <v>0</v>
      </c>
    </row>
    <row r="53" spans="1:8" x14ac:dyDescent="0.25">
      <c r="A53" s="45" t="s">
        <v>34</v>
      </c>
      <c r="B53" s="42">
        <v>1</v>
      </c>
      <c r="C53" s="42">
        <v>1</v>
      </c>
      <c r="D53" s="42">
        <v>1</v>
      </c>
      <c r="F53" s="45" t="s">
        <v>34</v>
      </c>
      <c r="G53" s="42">
        <v>0</v>
      </c>
      <c r="H53" s="120">
        <v>0</v>
      </c>
    </row>
    <row r="54" spans="1:8" x14ac:dyDescent="0.25">
      <c r="A54" s="45" t="s">
        <v>43</v>
      </c>
      <c r="B54" s="42">
        <v>0</v>
      </c>
      <c r="C54" s="42">
        <v>0</v>
      </c>
      <c r="D54" s="42">
        <v>1</v>
      </c>
      <c r="F54" s="45" t="s">
        <v>43</v>
      </c>
      <c r="G54" s="42">
        <v>0</v>
      </c>
      <c r="H54" s="42">
        <v>0</v>
      </c>
    </row>
    <row r="55" spans="1:8" x14ac:dyDescent="0.25">
      <c r="A55" s="45" t="s">
        <v>44</v>
      </c>
      <c r="B55" s="42">
        <v>0</v>
      </c>
      <c r="C55" s="42">
        <v>0</v>
      </c>
      <c r="D55" s="42">
        <f>(1.5)/2</f>
        <v>0.75</v>
      </c>
      <c r="F55" s="45" t="s">
        <v>44</v>
      </c>
      <c r="G55" s="42">
        <v>0</v>
      </c>
      <c r="H55" s="42">
        <f>(1.5)/2</f>
        <v>0.75</v>
      </c>
    </row>
    <row r="56" spans="1:8" x14ac:dyDescent="0.25">
      <c r="A56" s="106" t="s">
        <v>45</v>
      </c>
      <c r="B56" s="43">
        <v>0</v>
      </c>
      <c r="C56" s="48">
        <f>(4.4*1.1)/2</f>
        <v>2.4200000000000004</v>
      </c>
      <c r="D56" s="43">
        <v>0</v>
      </c>
      <c r="F56" s="106" t="s">
        <v>45</v>
      </c>
      <c r="G56" s="43">
        <v>0</v>
      </c>
      <c r="H56" s="43">
        <v>0</v>
      </c>
    </row>
    <row r="58" spans="1:8" ht="45" customHeight="1" x14ac:dyDescent="0.25">
      <c r="A58" s="126" t="s">
        <v>86</v>
      </c>
      <c r="B58" s="122">
        <f>sollecitazioni!B$52*'CARICHI UNITARI'!$C$3+B$53*'CARICHI UNITARI'!$C$4+B$54*'CARICHI UNITARI'!$C$5+B$55*'CARICHI UNITARI'!$C$6+B$56*'CARICHI UNITARI'!$C$7</f>
        <v>64.8065</v>
      </c>
      <c r="C58" s="122">
        <f>sollecitazioni!C$52*'CARICHI UNITARI'!$C$3+C$53*'CARICHI UNITARI'!$C$4+C$54*'CARICHI UNITARI'!$C$5+C$55*'CARICHI UNITARI'!$C$6+C$56*'CARICHI UNITARI'!$C$7</f>
        <v>54.122500000000002</v>
      </c>
      <c r="D58" s="122">
        <f>sollecitazioni!D$52*'CARICHI UNITARI'!$C$3+D$53*'CARICHI UNITARI'!$C$4+D$54*'CARICHI UNITARI'!$C$5+D$55*'CARICHI UNITARI'!$C$6+D$56*'CARICHI UNITARI'!$C$7</f>
        <v>52.042500000000004</v>
      </c>
      <c r="E58" s="123"/>
      <c r="F58" s="127" t="s">
        <v>87</v>
      </c>
      <c r="G58" s="122">
        <f>sollecitazioni!G$52*'CARICHI UNITARI'!$C$3+G$53*'CARICHI UNITARI'!$C$4+G$54*'CARICHI UNITARI'!$C$5+G$55*'CARICHI UNITARI'!$C$6+G$56*'CARICHI UNITARI'!$C$7</f>
        <v>61.352499999999999</v>
      </c>
      <c r="H58" s="122">
        <f>sollecitazioni!H$52*'CARICHI UNITARI'!$C$3+H$53*'CARICHI UNITARI'!$C$4+H$54*'CARICHI UNITARI'!$C$5+H$55*'CARICHI UNITARI'!$C$6+H$56*'CARICHI UNITARI'!$C$7</f>
        <v>8.3999999999999986</v>
      </c>
    </row>
    <row r="59" spans="1:8" ht="45" x14ac:dyDescent="0.25">
      <c r="A59" s="126" t="s">
        <v>88</v>
      </c>
      <c r="B59" s="122">
        <f>B$52*'CARICHI UNITARI'!$B$3+B$53*'CARICHI UNITARI'!$B$4+B$54*'CARICHI UNITARI'!$B$5+B$55*'CARICHI UNITARI'!$B$6+B$56*'CARICHI UNITARI'!$B$7</f>
        <v>38.411999999999999</v>
      </c>
      <c r="C59" s="122">
        <f>C$52*'CARICHI UNITARI'!$B$3+C$53*'CARICHI UNITARI'!$B$4+C$54*'CARICHI UNITARI'!$B$5+C$55*'CARICHI UNITARI'!$B$6+C$56*'CARICHI UNITARI'!$B$7</f>
        <v>32.688000000000002</v>
      </c>
      <c r="D59" s="122">
        <f>D$52*'CARICHI UNITARI'!$B$3+D$53*'CARICHI UNITARI'!$B$4+D$54*'CARICHI UNITARI'!$B$5+D$55*'CARICHI UNITARI'!$B$6+D$56*'CARICHI UNITARI'!$B$7</f>
        <v>32.74</v>
      </c>
      <c r="E59" s="125"/>
      <c r="F59" s="127" t="s">
        <v>88</v>
      </c>
      <c r="G59" s="122">
        <f>G$52*'CARICHI UNITARI'!$B$3+G$53*'CARICHI UNITARI'!$B$4+G$54*'CARICHI UNITARI'!$B$5+G$55*'CARICHI UNITARI'!$B$6+G$56*'CARICHI UNITARI'!$B$7</f>
        <v>35.42</v>
      </c>
      <c r="H59" s="122">
        <f>H$52*'CARICHI UNITARI'!$B$3+H$53*'CARICHI UNITARI'!$B$4+H$54*'CARICHI UNITARI'!$B$5+H$55*'CARICHI UNITARI'!$B$6+H$56*'CARICHI UNITARI'!$B$7</f>
        <v>4.8000000000000007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89"/>
  <sheetViews>
    <sheetView topLeftCell="A48" zoomScale="115" zoomScaleNormal="115" workbookViewId="0">
      <selection activeCell="C61" sqref="C61"/>
    </sheetView>
  </sheetViews>
  <sheetFormatPr defaultRowHeight="15" x14ac:dyDescent="0.25"/>
  <cols>
    <col min="1" max="1" width="0.140625" customWidth="1"/>
    <col min="2" max="4" width="18.140625" customWidth="1"/>
    <col min="5" max="8" width="18.42578125" customWidth="1"/>
    <col min="9" max="10" width="18.28515625" customWidth="1"/>
  </cols>
  <sheetData>
    <row r="1" spans="2:20" x14ac:dyDescent="0.25">
      <c r="B1" s="1" t="s">
        <v>52</v>
      </c>
      <c r="C1" s="1"/>
    </row>
    <row r="2" spans="2:20" x14ac:dyDescent="0.25">
      <c r="B2" s="2" t="s">
        <v>55</v>
      </c>
      <c r="C2" s="2" t="s">
        <v>60</v>
      </c>
      <c r="D2" s="2" t="s">
        <v>57</v>
      </c>
      <c r="J2" s="2" t="s">
        <v>54</v>
      </c>
    </row>
    <row r="3" spans="2:20" x14ac:dyDescent="0.25">
      <c r="B3" s="2">
        <v>25</v>
      </c>
      <c r="C3" s="2">
        <v>30</v>
      </c>
      <c r="D3" s="2">
        <v>1.7999999999999999E-2</v>
      </c>
      <c r="J3" s="2">
        <v>4</v>
      </c>
    </row>
    <row r="6" spans="2:20" s="114" customFormat="1" x14ac:dyDescent="0.25">
      <c r="B6" s="153" t="s">
        <v>47</v>
      </c>
      <c r="C6" s="153"/>
      <c r="D6" s="153"/>
    </row>
    <row r="7" spans="2:20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2:20" x14ac:dyDescent="0.25">
      <c r="B8" s="154" t="s">
        <v>48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2:20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ht="30" x14ac:dyDescent="0.25">
      <c r="B10" s="150" t="s">
        <v>50</v>
      </c>
      <c r="C10" s="140" t="s">
        <v>198</v>
      </c>
      <c r="D10" s="258" t="s">
        <v>199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2:20" x14ac:dyDescent="0.25">
      <c r="B11" s="6"/>
      <c r="C11" s="6"/>
      <c r="D11" s="6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2:20" ht="30.75" thickBot="1" x14ac:dyDescent="0.3">
      <c r="B12" s="140" t="s">
        <v>62</v>
      </c>
      <c r="C12" s="151"/>
      <c r="D12" s="24"/>
      <c r="E12" s="135" t="s">
        <v>63</v>
      </c>
      <c r="F12" s="136"/>
      <c r="G12" s="136"/>
      <c r="H12" s="136"/>
      <c r="I12" s="137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2:20" ht="46.5" thickTop="1" thickBot="1" x14ac:dyDescent="0.3">
      <c r="B13" s="150" t="s">
        <v>51</v>
      </c>
      <c r="C13" s="147">
        <v>5</v>
      </c>
      <c r="D13" s="92">
        <f>C13</f>
        <v>5</v>
      </c>
      <c r="E13" s="155" t="s">
        <v>93</v>
      </c>
      <c r="F13" s="156" t="s">
        <v>49</v>
      </c>
      <c r="G13" s="155" t="s">
        <v>94</v>
      </c>
      <c r="H13" s="157" t="s">
        <v>95</v>
      </c>
      <c r="I13" s="157" t="s">
        <v>96</v>
      </c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2:20" ht="16.5" thickTop="1" thickBot="1" x14ac:dyDescent="0.3">
      <c r="B14" s="124" t="s">
        <v>53</v>
      </c>
      <c r="C14" s="148">
        <v>0.3</v>
      </c>
      <c r="D14" s="92">
        <f>C14</f>
        <v>0.3</v>
      </c>
      <c r="E14" s="29">
        <f>((MAXA(sollecitazioni!B58:D58))*(C13^2))/10</f>
        <v>162.01624999999999</v>
      </c>
      <c r="F14" s="90">
        <f>MAXA(sollecitazioni!F22)</f>
        <v>250.34830733426276</v>
      </c>
      <c r="G14" s="90">
        <f>sollecitazioni!F33</f>
        <v>300.41796880111531</v>
      </c>
      <c r="H14" s="90">
        <f>E14+F14</f>
        <v>412.36455733426271</v>
      </c>
      <c r="I14" s="145">
        <f>E14+G14</f>
        <v>462.43421880111532</v>
      </c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2:20" ht="46.5" thickTop="1" thickBot="1" x14ac:dyDescent="0.3">
      <c r="B15" s="124" t="s">
        <v>54</v>
      </c>
      <c r="C15" s="148">
        <v>0.04</v>
      </c>
      <c r="D15" s="92">
        <f>C15</f>
        <v>0.04</v>
      </c>
      <c r="E15" s="155" t="s">
        <v>97</v>
      </c>
      <c r="F15" s="156" t="s">
        <v>49</v>
      </c>
      <c r="G15" s="155" t="s">
        <v>94</v>
      </c>
      <c r="H15" s="157" t="s">
        <v>95</v>
      </c>
      <c r="I15" s="157" t="s">
        <v>96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2:20" ht="15.75" thickTop="1" x14ac:dyDescent="0.25">
      <c r="B16" s="124" t="s">
        <v>56</v>
      </c>
      <c r="C16" s="125">
        <f>D3*((MAX(H14:H16)/C14)^0.5)</f>
        <v>0.66734827633028593</v>
      </c>
      <c r="D16" s="3">
        <f>D3*((MAX(I14:I16)/C14)^0.5)</f>
        <v>0.70670287696117706</v>
      </c>
      <c r="E16" s="86">
        <f>((MAX(sollecitazioni!B59:D59))*(C13^2))/10</f>
        <v>96.03</v>
      </c>
      <c r="F16" s="116">
        <f>MAX(sollecitazioni!F22)</f>
        <v>250.34830733426276</v>
      </c>
      <c r="G16" s="116">
        <f>G14</f>
        <v>300.41796880111531</v>
      </c>
      <c r="H16" s="116">
        <f>E16+F16</f>
        <v>346.37830733426279</v>
      </c>
      <c r="I16" s="134">
        <f>E16+G16</f>
        <v>396.44796880111528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2:20" x14ac:dyDescent="0.25">
      <c r="B17" s="124" t="s">
        <v>61</v>
      </c>
      <c r="C17" s="149">
        <f>C16+C15</f>
        <v>0.70734827633028596</v>
      </c>
      <c r="D17" s="133">
        <f>D16+D15</f>
        <v>0.7467028769611771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2:20" x14ac:dyDescent="0.25">
      <c r="B18" s="230"/>
      <c r="C18" s="123"/>
      <c r="D18" s="123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2:20" x14ac:dyDescent="0.25">
      <c r="B19" s="270" t="s">
        <v>173</v>
      </c>
      <c r="C19" s="123"/>
      <c r="D19" s="123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2:20" ht="30.75" thickBot="1" x14ac:dyDescent="0.3">
      <c r="B20" s="140" t="s">
        <v>62</v>
      </c>
      <c r="C20" s="140" t="s">
        <v>198</v>
      </c>
      <c r="D20" s="258" t="s">
        <v>199</v>
      </c>
      <c r="E20" s="135" t="s">
        <v>63</v>
      </c>
      <c r="F20" s="136"/>
      <c r="G20" s="136"/>
      <c r="H20" s="136"/>
      <c r="I20" s="137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2:20" ht="46.5" thickTop="1" thickBot="1" x14ac:dyDescent="0.3">
      <c r="B21" s="150" t="s">
        <v>51</v>
      </c>
      <c r="C21" s="147">
        <v>5</v>
      </c>
      <c r="D21" s="92">
        <f>C21</f>
        <v>5</v>
      </c>
      <c r="E21" s="155" t="s">
        <v>93</v>
      </c>
      <c r="F21" s="156" t="s">
        <v>49</v>
      </c>
      <c r="G21" s="155" t="s">
        <v>94</v>
      </c>
      <c r="H21" s="157" t="s">
        <v>95</v>
      </c>
      <c r="I21" s="157" t="s">
        <v>96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2:20" ht="16.5" thickTop="1" thickBot="1" x14ac:dyDescent="0.3">
      <c r="B22" s="124" t="s">
        <v>53</v>
      </c>
      <c r="C22" s="148">
        <v>0.3</v>
      </c>
      <c r="D22" s="92">
        <f>C22</f>
        <v>0.3</v>
      </c>
      <c r="E22" s="29">
        <f>E14</f>
        <v>162.01624999999999</v>
      </c>
      <c r="F22" s="90">
        <f>sollecitazioni!F19</f>
        <v>110.9766115920917</v>
      </c>
      <c r="G22" s="90">
        <f>sollecitazioni!F30</f>
        <v>133.17193391051003</v>
      </c>
      <c r="H22" s="90">
        <f>E22+F22</f>
        <v>272.99286159209169</v>
      </c>
      <c r="I22" s="145">
        <f>E22+G22</f>
        <v>295.18818391051002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2:20" ht="46.5" thickTop="1" thickBot="1" x14ac:dyDescent="0.3">
      <c r="B23" s="124" t="s">
        <v>54</v>
      </c>
      <c r="C23" s="148">
        <v>0.04</v>
      </c>
      <c r="D23" s="92">
        <f>C23</f>
        <v>0.04</v>
      </c>
      <c r="E23" s="155" t="s">
        <v>97</v>
      </c>
      <c r="F23" s="156" t="s">
        <v>49</v>
      </c>
      <c r="G23" s="155" t="s">
        <v>94</v>
      </c>
      <c r="H23" s="157" t="s">
        <v>95</v>
      </c>
      <c r="I23" s="157" t="s">
        <v>96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2:20" ht="15.75" thickTop="1" x14ac:dyDescent="0.25">
      <c r="B24" s="124" t="s">
        <v>56</v>
      </c>
      <c r="C24" s="125">
        <f>D3*((MAX(H22:H24)/C22)^0.5)</f>
        <v>0.54298461351999561</v>
      </c>
      <c r="D24" s="3">
        <f>D3*((MAX(I22:I24)/C22)^0.5)</f>
        <v>0.56462663648056033</v>
      </c>
      <c r="E24" s="86">
        <f>E16</f>
        <v>96.03</v>
      </c>
      <c r="F24" s="116">
        <f>F22</f>
        <v>110.9766115920917</v>
      </c>
      <c r="G24" s="116">
        <f>G22</f>
        <v>133.17193391051003</v>
      </c>
      <c r="H24" s="116">
        <f>E24+F24</f>
        <v>207.0066115920917</v>
      </c>
      <c r="I24" s="134">
        <f>E24+G24</f>
        <v>229.20193391051004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2:20" x14ac:dyDescent="0.25">
      <c r="B25" s="124" t="s">
        <v>61</v>
      </c>
      <c r="C25" s="149">
        <f>C24+C23</f>
        <v>0.58298461351999564</v>
      </c>
      <c r="D25" s="133">
        <f>D24+D23</f>
        <v>0.60462663648056036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2:20" x14ac:dyDescent="0.25">
      <c r="B26" s="230"/>
      <c r="C26" s="123"/>
      <c r="D26" s="123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2:20" x14ac:dyDescent="0.25">
      <c r="B27" s="230"/>
      <c r="C27" s="123"/>
      <c r="D27" s="123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2:20" x14ac:dyDescent="0.25">
      <c r="B28" s="230"/>
      <c r="C28" s="123"/>
      <c r="D28" s="123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2:20" x14ac:dyDescent="0.25">
      <c r="B29" s="230"/>
      <c r="C29" s="123"/>
      <c r="D29" s="123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2:20" x14ac:dyDescent="0.25">
      <c r="B30" s="230"/>
      <c r="C30" s="123"/>
      <c r="D30" s="123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2:20" x14ac:dyDescent="0.25">
      <c r="B31" s="230"/>
      <c r="C31" s="123"/>
      <c r="D31" s="12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2:20" x14ac:dyDescent="0.25">
      <c r="B32" s="230"/>
      <c r="C32" s="123"/>
      <c r="D32" s="123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2:20" x14ac:dyDescent="0.25">
      <c r="B33" s="230"/>
      <c r="C33" s="123"/>
      <c r="D33" s="123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2:20" x14ac:dyDescent="0.25">
      <c r="B34" s="230"/>
      <c r="C34" s="123"/>
      <c r="D34" s="12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2:20" x14ac:dyDescent="0.25">
      <c r="B35" s="230"/>
      <c r="C35" s="123"/>
      <c r="D35" s="123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2:20" x14ac:dyDescent="0.25">
      <c r="B36" s="2"/>
      <c r="C36" s="2"/>
      <c r="D36" s="3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2:20" x14ac:dyDescent="0.25">
      <c r="B37" s="150" t="s">
        <v>0</v>
      </c>
      <c r="C37" s="74" t="s">
        <v>58</v>
      </c>
      <c r="D37" s="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2:20" x14ac:dyDescent="0.25">
      <c r="B38" s="124"/>
      <c r="C38" s="45"/>
      <c r="D38" s="3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2:20" x14ac:dyDescent="0.25">
      <c r="B39" s="124" t="s">
        <v>1</v>
      </c>
      <c r="C39" s="131" t="s">
        <v>104</v>
      </c>
      <c r="D39" s="3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2:20" x14ac:dyDescent="0.25">
      <c r="B40" s="44">
        <v>4</v>
      </c>
      <c r="C40" s="131" t="s">
        <v>164</v>
      </c>
      <c r="D40" s="3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2:20" x14ac:dyDescent="0.25">
      <c r="B41" s="44">
        <v>3</v>
      </c>
      <c r="C41" s="131" t="s">
        <v>165</v>
      </c>
      <c r="D41" s="3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2:20" x14ac:dyDescent="0.25">
      <c r="B42" s="44">
        <v>2</v>
      </c>
      <c r="C42" s="131" t="s">
        <v>165</v>
      </c>
      <c r="D42" s="3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2:20" x14ac:dyDescent="0.25">
      <c r="B43" s="44">
        <v>1</v>
      </c>
      <c r="C43" s="94" t="s">
        <v>165</v>
      </c>
      <c r="D43" s="3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2:20" x14ac:dyDescent="0.25">
      <c r="B44" s="2"/>
      <c r="C44" s="2"/>
      <c r="D44" s="3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2:20" x14ac:dyDescent="0.25">
      <c r="B45" s="6"/>
      <c r="C45" s="76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2:20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2:20" x14ac:dyDescent="0.25">
      <c r="B47" s="158" t="s">
        <v>59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2:20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2:20" ht="30" x14ac:dyDescent="0.25">
      <c r="B49" s="8" t="s">
        <v>50</v>
      </c>
      <c r="C49" s="259" t="s">
        <v>196</v>
      </c>
      <c r="D49" s="9" t="s">
        <v>197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2:20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2:20" ht="30.75" thickBot="1" x14ac:dyDescent="0.3">
      <c r="B51" s="140" t="s">
        <v>62</v>
      </c>
      <c r="C51" s="44"/>
      <c r="D51" s="44"/>
      <c r="E51" s="146" t="s">
        <v>63</v>
      </c>
      <c r="F51" s="136"/>
      <c r="G51" s="136"/>
      <c r="H51" s="136"/>
      <c r="I51" s="137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2:20" ht="46.5" thickTop="1" thickBot="1" x14ac:dyDescent="0.3">
      <c r="B52" s="141" t="s">
        <v>51</v>
      </c>
      <c r="C52" s="144">
        <v>4.5</v>
      </c>
      <c r="D52" s="51">
        <f>C52</f>
        <v>4.5</v>
      </c>
      <c r="E52" s="159" t="s">
        <v>93</v>
      </c>
      <c r="F52" s="156" t="s">
        <v>49</v>
      </c>
      <c r="G52" s="155" t="s">
        <v>94</v>
      </c>
      <c r="H52" s="157" t="s">
        <v>95</v>
      </c>
      <c r="I52" s="157" t="s">
        <v>96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2:20" ht="16.5" thickTop="1" thickBot="1" x14ac:dyDescent="0.3">
      <c r="B53" s="44" t="s">
        <v>61</v>
      </c>
      <c r="C53" s="142">
        <v>0.25</v>
      </c>
      <c r="D53" s="51">
        <f>C53</f>
        <v>0.25</v>
      </c>
      <c r="E53" s="90">
        <f>((MAX(sollecitazioni!G58:H58))*(C52^2))/10</f>
        <v>124.23881249999999</v>
      </c>
      <c r="F53" s="90">
        <f>MAX(sollecitazioni!F18:F22)</f>
        <v>250.34830733426276</v>
      </c>
      <c r="G53" s="90">
        <f>MAX(sollecitazioni!F29:F34)</f>
        <v>300.41796880111531</v>
      </c>
      <c r="H53" s="90">
        <f>E53+F53</f>
        <v>374.58711983426275</v>
      </c>
      <c r="I53" s="145">
        <f>E53+G53</f>
        <v>424.6567813011153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2:20" ht="46.5" thickTop="1" thickBot="1" x14ac:dyDescent="0.3">
      <c r="B54" s="139" t="s">
        <v>54</v>
      </c>
      <c r="C54" s="143">
        <v>0.04</v>
      </c>
      <c r="D54" s="44">
        <f>C54</f>
        <v>0.04</v>
      </c>
      <c r="E54" s="159" t="s">
        <v>97</v>
      </c>
      <c r="F54" s="156" t="s">
        <v>49</v>
      </c>
      <c r="G54" s="155" t="s">
        <v>94</v>
      </c>
      <c r="H54" s="157" t="s">
        <v>95</v>
      </c>
      <c r="I54" s="157" t="s">
        <v>96</v>
      </c>
      <c r="K54" s="31"/>
      <c r="L54" s="2"/>
      <c r="M54" s="2"/>
      <c r="N54" s="2"/>
      <c r="O54" s="2"/>
      <c r="P54" s="2"/>
      <c r="Q54" s="2"/>
      <c r="R54" s="2"/>
      <c r="S54" s="2"/>
      <c r="T54" s="2"/>
    </row>
    <row r="55" spans="2:20" ht="15.75" thickTop="1" x14ac:dyDescent="0.25">
      <c r="B55" s="44" t="s">
        <v>56</v>
      </c>
      <c r="C55" s="51">
        <f>C53-C54</f>
        <v>0.21</v>
      </c>
      <c r="D55" s="122">
        <f>C55</f>
        <v>0.21</v>
      </c>
      <c r="E55" s="116">
        <f>((MAXA(sollecitazioni!G59:H59))*(C52^2))/10</f>
        <v>71.725499999999997</v>
      </c>
      <c r="F55" s="116">
        <f>MAX(sollecitazioni!F18:F22)</f>
        <v>250.34830733426276</v>
      </c>
      <c r="G55" s="116">
        <f>G53</f>
        <v>300.41796880111531</v>
      </c>
      <c r="H55" s="116">
        <f>E55+F55</f>
        <v>322.07380733426277</v>
      </c>
      <c r="I55" s="134">
        <f>E55+G55</f>
        <v>372.14346880111532</v>
      </c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2:20" x14ac:dyDescent="0.25">
      <c r="B56" s="44" t="s">
        <v>53</v>
      </c>
      <c r="C56" s="75">
        <f>(E55*(D3^2))/(C55^2)</f>
        <v>0.52696285714285718</v>
      </c>
      <c r="D56" s="51">
        <f>(MAX(I53:I55)*(D3^2))/(C55^2)</f>
        <v>3.1199273728245203</v>
      </c>
      <c r="E56" s="90"/>
      <c r="F56" s="90"/>
      <c r="G56" s="90"/>
      <c r="H56" s="90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2:20" x14ac:dyDescent="0.25">
      <c r="D57" s="2"/>
      <c r="E57" s="14"/>
      <c r="F57" s="14"/>
      <c r="G57" s="14"/>
      <c r="H57" s="14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2:20" x14ac:dyDescent="0.25">
      <c r="D58" s="2"/>
      <c r="E58" s="27"/>
      <c r="F58" s="27"/>
      <c r="G58" s="27"/>
      <c r="H58" s="2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2:20" x14ac:dyDescent="0.25">
      <c r="B59" s="17"/>
      <c r="C59" s="26"/>
      <c r="D59" s="2"/>
      <c r="E59" s="27"/>
      <c r="F59" s="27"/>
      <c r="G59" s="27"/>
      <c r="H59" s="27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2:20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2:20" x14ac:dyDescent="0.25">
      <c r="B61" s="6" t="s">
        <v>58</v>
      </c>
      <c r="C61" s="19" t="s">
        <v>218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2:20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2:20" s="111" customFormat="1" x14ac:dyDescent="0.25">
      <c r="B63" s="138" t="s">
        <v>64</v>
      </c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</row>
    <row r="64" spans="2:20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2:20" x14ac:dyDescent="0.25">
      <c r="B65" s="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2:20" ht="30" x14ac:dyDescent="0.25">
      <c r="B66" s="150" t="s">
        <v>0</v>
      </c>
      <c r="C66" s="160" t="s">
        <v>30</v>
      </c>
      <c r="D66" s="160" t="s">
        <v>31</v>
      </c>
      <c r="E66" s="161" t="s">
        <v>65</v>
      </c>
      <c r="F66" s="162" t="s">
        <v>71</v>
      </c>
      <c r="G66" s="8"/>
      <c r="H66" s="168" t="s">
        <v>38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2:20" x14ac:dyDescent="0.25">
      <c r="B67" s="124"/>
      <c r="C67" s="125"/>
      <c r="D67" s="131"/>
      <c r="E67" s="131"/>
      <c r="F67" s="131"/>
      <c r="G67" s="92"/>
      <c r="H67" s="115"/>
      <c r="I67" s="92"/>
      <c r="J67" s="9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2:20" x14ac:dyDescent="0.25">
      <c r="B68" s="124" t="s">
        <v>1</v>
      </c>
      <c r="C68" s="125">
        <f>sollecitazioni!I29</f>
        <v>100.76582834148604</v>
      </c>
      <c r="D68" s="125">
        <f>sollecitazioni!J29</f>
        <v>70.536079839040227</v>
      </c>
      <c r="E68" s="125">
        <f>(MINA(sollecitazioni!B46:E47)*(1+0.1))</f>
        <v>70.535740000000004</v>
      </c>
      <c r="F68" s="125">
        <f>(MAXA(sollecitazioni!B46:E47)*(1+0.1))</f>
        <v>265.46091000000001</v>
      </c>
      <c r="G68" s="92"/>
      <c r="H68" s="152">
        <f>sollecitazioni!H18</f>
        <v>16.562430693866872</v>
      </c>
      <c r="I68" s="92"/>
      <c r="L68" s="2"/>
      <c r="M68" s="2"/>
      <c r="N68" s="2"/>
      <c r="O68" s="2"/>
      <c r="P68" s="2"/>
      <c r="Q68" s="2"/>
      <c r="R68" s="2"/>
      <c r="S68" s="2"/>
      <c r="T68" s="2"/>
    </row>
    <row r="69" spans="2:20" x14ac:dyDescent="0.25">
      <c r="B69" s="44">
        <v>4</v>
      </c>
      <c r="C69" s="46">
        <f>sollecitazioni!I30</f>
        <v>245.48119982584004</v>
      </c>
      <c r="D69" s="46">
        <f>sollecitazioni!J30</f>
        <v>171.83683987808803</v>
      </c>
      <c r="E69" s="46">
        <f>$E$68*2</f>
        <v>141.07148000000001</v>
      </c>
      <c r="F69" s="46">
        <f>F68*2</f>
        <v>530.92182000000003</v>
      </c>
      <c r="G69" s="2"/>
      <c r="H69" s="3">
        <f>sollecitazioni!H19</f>
        <v>73.473513561606211</v>
      </c>
      <c r="I69" s="2"/>
      <c r="L69" s="2"/>
      <c r="M69" s="2"/>
      <c r="N69" s="2"/>
      <c r="O69" s="2"/>
      <c r="P69" s="2"/>
      <c r="Q69" s="2"/>
      <c r="R69" s="2"/>
      <c r="S69" s="2"/>
      <c r="T69" s="2"/>
    </row>
    <row r="70" spans="2:20" x14ac:dyDescent="0.25">
      <c r="B70" s="44">
        <v>3</v>
      </c>
      <c r="C70" s="46">
        <f>sollecitazioni!I31</f>
        <v>333.67078233169008</v>
      </c>
      <c r="D70" s="46">
        <f>sollecitazioni!J31</f>
        <v>233.56954763218303</v>
      </c>
      <c r="E70" s="46">
        <f>$E$68*3</f>
        <v>211.60722000000001</v>
      </c>
      <c r="F70" s="46">
        <f>F68*3</f>
        <v>796.38273000000004</v>
      </c>
      <c r="G70" s="2"/>
      <c r="H70" s="3">
        <f>sollecitazioni!H20</f>
        <v>152.10371635845763</v>
      </c>
      <c r="I70" s="2"/>
      <c r="L70" s="2"/>
      <c r="M70" s="2"/>
      <c r="N70" s="2"/>
      <c r="O70" s="2"/>
      <c r="P70" s="2"/>
      <c r="Q70" s="2"/>
      <c r="R70" s="2"/>
      <c r="S70" s="2"/>
      <c r="T70" s="2"/>
    </row>
    <row r="71" spans="2:20" x14ac:dyDescent="0.25">
      <c r="B71" s="44">
        <v>2</v>
      </c>
      <c r="C71" s="46">
        <f>sollecitazioni!I32</f>
        <v>392.46383733559014</v>
      </c>
      <c r="D71" s="46">
        <f>sollecitazioni!J32</f>
        <v>274.7246861349131</v>
      </c>
      <c r="E71" s="46">
        <f>$E$68*4</f>
        <v>282.14296000000002</v>
      </c>
      <c r="F71" s="46">
        <f>F68*4</f>
        <v>1061.8436400000001</v>
      </c>
      <c r="G71" s="2"/>
      <c r="H71" s="3">
        <f>sollecitazioni!H21</f>
        <v>214.54414888639224</v>
      </c>
      <c r="I71" s="2"/>
      <c r="L71" s="2"/>
      <c r="M71" s="2"/>
      <c r="N71" s="2"/>
      <c r="O71" s="2"/>
      <c r="P71" s="2"/>
      <c r="Q71" s="2"/>
      <c r="R71" s="2"/>
      <c r="S71" s="2"/>
      <c r="T71" s="2"/>
    </row>
    <row r="72" spans="2:20" x14ac:dyDescent="0.25">
      <c r="B72" s="44">
        <v>1</v>
      </c>
      <c r="C72" s="48">
        <f>sollecitazioni!I33</f>
        <v>388.6228815473097</v>
      </c>
      <c r="D72" s="48">
        <f>sollecitazioni!J33</f>
        <v>272.03601708311675</v>
      </c>
      <c r="E72" s="48">
        <f>$E$68*5</f>
        <v>352.67870000000005</v>
      </c>
      <c r="F72" s="48">
        <f>F68*5</f>
        <v>1327.3045500000001</v>
      </c>
      <c r="G72" s="2"/>
      <c r="H72" s="3">
        <f>sollecitazioni!H22</f>
        <v>247.73526274657792</v>
      </c>
      <c r="I72" s="2"/>
      <c r="L72" s="2"/>
      <c r="M72" s="2"/>
      <c r="N72" s="2"/>
      <c r="O72" s="2"/>
      <c r="P72" s="2"/>
      <c r="Q72" s="2"/>
      <c r="R72" s="2"/>
      <c r="S72" s="2"/>
      <c r="T72" s="2"/>
    </row>
    <row r="73" spans="2:20" x14ac:dyDescent="0.25">
      <c r="B73" s="2" t="s">
        <v>98</v>
      </c>
      <c r="C73" s="48">
        <f>sollecitazioni!I34</f>
        <v>448.41101716997264</v>
      </c>
      <c r="D73" s="48">
        <f>sollecitazioni!J34</f>
        <v>313.88771201898084</v>
      </c>
      <c r="E73" s="2"/>
      <c r="F73" s="2"/>
      <c r="G73" s="2"/>
      <c r="H73" s="3"/>
      <c r="I73" s="2"/>
      <c r="J73" s="2"/>
      <c r="K73" s="23"/>
      <c r="L73" s="2"/>
      <c r="M73" s="2"/>
      <c r="N73" s="2"/>
      <c r="O73" s="2"/>
      <c r="P73" s="2"/>
      <c r="Q73" s="2"/>
      <c r="R73" s="2"/>
      <c r="S73" s="2"/>
      <c r="T73" s="2"/>
    </row>
    <row r="74" spans="2:20" ht="30" x14ac:dyDescent="0.25">
      <c r="B74" s="167" t="s">
        <v>72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2:20" x14ac:dyDescent="0.25">
      <c r="B75" s="44" t="s">
        <v>73</v>
      </c>
      <c r="C75" s="164">
        <f>MAX(C68:C72)</f>
        <v>392.46383733559014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2:20" x14ac:dyDescent="0.25">
      <c r="B76" s="44" t="s">
        <v>99</v>
      </c>
      <c r="C76" s="165">
        <f>F71+H71</f>
        <v>1276.3877888863922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2:20" x14ac:dyDescent="0.25">
      <c r="B77" s="44"/>
      <c r="C77" s="118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2:20" x14ac:dyDescent="0.25">
      <c r="B78" s="44" t="s">
        <v>73</v>
      </c>
      <c r="C78" s="165">
        <f>C72</f>
        <v>388.6228815473097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2:20" x14ac:dyDescent="0.25">
      <c r="B79" s="44" t="s">
        <v>100</v>
      </c>
      <c r="C79" s="166">
        <f>E72-H72</f>
        <v>104.94343725342213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3" spans="2:4" x14ac:dyDescent="0.25">
      <c r="B83" s="150" t="s">
        <v>0</v>
      </c>
      <c r="C83" s="169" t="s">
        <v>58</v>
      </c>
      <c r="D83" s="169" t="s">
        <v>101</v>
      </c>
    </row>
    <row r="84" spans="2:4" x14ac:dyDescent="0.25">
      <c r="B84" s="124"/>
    </row>
    <row r="85" spans="2:4" x14ac:dyDescent="0.25">
      <c r="B85" s="124" t="s">
        <v>1</v>
      </c>
      <c r="C85" s="92" t="s">
        <v>164</v>
      </c>
      <c r="D85" s="92" t="s">
        <v>163</v>
      </c>
    </row>
    <row r="86" spans="2:4" x14ac:dyDescent="0.25">
      <c r="B86" s="44">
        <v>4</v>
      </c>
      <c r="C86" s="92" t="s">
        <v>165</v>
      </c>
      <c r="D86" s="92" t="s">
        <v>166</v>
      </c>
    </row>
    <row r="87" spans="2:4" x14ac:dyDescent="0.25">
      <c r="B87" s="44">
        <v>3</v>
      </c>
      <c r="C87" s="92" t="s">
        <v>162</v>
      </c>
      <c r="D87" s="92" t="s">
        <v>161</v>
      </c>
    </row>
    <row r="88" spans="2:4" x14ac:dyDescent="0.25">
      <c r="B88" s="44">
        <v>2</v>
      </c>
      <c r="C88" s="92" t="s">
        <v>162</v>
      </c>
      <c r="D88" s="92" t="s">
        <v>161</v>
      </c>
    </row>
    <row r="89" spans="2:4" x14ac:dyDescent="0.25">
      <c r="B89" s="44">
        <v>1</v>
      </c>
      <c r="C89" s="92" t="s">
        <v>162</v>
      </c>
      <c r="D89" s="92" t="s">
        <v>161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opLeftCell="C1" workbookViewId="0">
      <selection activeCell="Q17" sqref="Q17"/>
    </sheetView>
  </sheetViews>
  <sheetFormatPr defaultRowHeight="15" x14ac:dyDescent="0.25"/>
  <cols>
    <col min="1" max="1" width="18.5703125" customWidth="1"/>
    <col min="2" max="2" width="16" customWidth="1"/>
    <col min="3" max="4" width="18.28515625" customWidth="1"/>
    <col min="9" max="9" width="18.28515625" customWidth="1"/>
    <col min="10" max="10" width="11.42578125" customWidth="1"/>
    <col min="11" max="11" width="18.28515625" customWidth="1"/>
    <col min="12" max="12" width="18.140625" customWidth="1"/>
    <col min="14" max="14" width="10.42578125" customWidth="1"/>
    <col min="16" max="16" width="12" bestFit="1" customWidth="1"/>
  </cols>
  <sheetData>
    <row r="1" spans="1:16" x14ac:dyDescent="0.25">
      <c r="A1" t="s">
        <v>206</v>
      </c>
    </row>
    <row r="2" spans="1:16" x14ac:dyDescent="0.25">
      <c r="A2" s="66" t="s">
        <v>20</v>
      </c>
      <c r="B2" s="92" t="s">
        <v>200</v>
      </c>
      <c r="C2" s="92" t="s">
        <v>202</v>
      </c>
      <c r="D2" s="92" t="s">
        <v>201</v>
      </c>
      <c r="E2" s="92" t="s">
        <v>204</v>
      </c>
      <c r="F2" s="92" t="s">
        <v>203</v>
      </c>
      <c r="G2" s="92" t="s">
        <v>205</v>
      </c>
      <c r="H2" t="s">
        <v>209</v>
      </c>
      <c r="I2" s="275" t="s">
        <v>208</v>
      </c>
      <c r="J2" s="275" t="s">
        <v>211</v>
      </c>
      <c r="K2" s="275" t="s">
        <v>210</v>
      </c>
      <c r="L2" s="92" t="s">
        <v>212</v>
      </c>
      <c r="M2" s="92" t="s">
        <v>214</v>
      </c>
      <c r="N2" t="s">
        <v>215</v>
      </c>
      <c r="O2" t="s">
        <v>216</v>
      </c>
      <c r="P2" s="92" t="s">
        <v>213</v>
      </c>
    </row>
    <row r="3" spans="1:16" x14ac:dyDescent="0.25">
      <c r="A3" s="42"/>
    </row>
    <row r="4" spans="1:16" x14ac:dyDescent="0.25">
      <c r="A4" s="42" t="s">
        <v>22</v>
      </c>
      <c r="B4" s="268">
        <f>(B14*C14^3)/12</f>
        <v>1.3499999999999999E-3</v>
      </c>
      <c r="C4" s="268">
        <f>(B23*C23^3)/12</f>
        <v>4.4999999999999997E-3</v>
      </c>
      <c r="D4" s="268">
        <f>C5</f>
        <v>5.3999999999999994E-3</v>
      </c>
      <c r="E4" s="268">
        <v>1.95</v>
      </c>
      <c r="F4" s="268">
        <v>5</v>
      </c>
      <c r="G4" s="268">
        <v>315000</v>
      </c>
      <c r="H4" s="268">
        <v>10</v>
      </c>
      <c r="I4" s="92">
        <f>B4*H4</f>
        <v>1.3499999999999998E-2</v>
      </c>
      <c r="J4" s="92">
        <v>14</v>
      </c>
      <c r="K4" s="92">
        <f>C4*J4</f>
        <v>6.3E-2</v>
      </c>
      <c r="L4">
        <f>D4*J4</f>
        <v>7.5599999999999987E-2</v>
      </c>
      <c r="M4">
        <f>I4/E4</f>
        <v>6.9230769230769224E-3</v>
      </c>
      <c r="N4">
        <f>K4/F4</f>
        <v>1.26E-2</v>
      </c>
      <c r="O4">
        <f>L4/F4</f>
        <v>1.5119999999999998E-2</v>
      </c>
      <c r="P4" s="276">
        <f>(12*G4*I4/E4^3)*(1/((1+0.5*((G4*M4)/(G4*N4))+((G4*M4)/(G4*O4)))))</f>
        <v>3972.1280508400359</v>
      </c>
    </row>
    <row r="5" spans="1:16" x14ac:dyDescent="0.25">
      <c r="A5" s="42">
        <v>4</v>
      </c>
      <c r="B5" s="268">
        <f t="shared" ref="B5:B8" si="0">(B15*C15^3)/12</f>
        <v>1.575E-3</v>
      </c>
      <c r="C5" s="268">
        <f t="shared" ref="C5:C8" si="1">(B24*C24^3)/12</f>
        <v>5.3999999999999994E-3</v>
      </c>
      <c r="D5" s="268">
        <f>C6</f>
        <v>8.5749999999999976E-3</v>
      </c>
      <c r="E5" s="268">
        <v>3.3</v>
      </c>
      <c r="F5" s="268">
        <v>5</v>
      </c>
      <c r="G5" s="268">
        <v>315000</v>
      </c>
      <c r="H5" s="268">
        <v>10</v>
      </c>
      <c r="I5" s="92">
        <f t="shared" ref="I5:I8" si="2">B5*H5</f>
        <v>1.575E-2</v>
      </c>
      <c r="J5" s="92">
        <v>14</v>
      </c>
      <c r="K5" s="92">
        <f t="shared" ref="K5:K8" si="3">C5*J5</f>
        <v>7.5599999999999987E-2</v>
      </c>
      <c r="L5">
        <f t="shared" ref="L5:L8" si="4">D5*J5</f>
        <v>0.12004999999999996</v>
      </c>
      <c r="M5">
        <f t="shared" ref="M5:M8" si="5">I5/E5</f>
        <v>4.7727272727272731E-3</v>
      </c>
      <c r="N5">
        <f t="shared" ref="N5:N8" si="6">K5/F5</f>
        <v>1.5119999999999998E-2</v>
      </c>
      <c r="O5">
        <f t="shared" ref="O5:O8" si="7">L5/F5</f>
        <v>2.4009999999999993E-2</v>
      </c>
      <c r="P5" s="276">
        <f>(12*G5*I5/E5^3)*(1/((1+0.5*((G5*M5)/(G5*N5))+((G5*M5)/(G5*O5)))))</f>
        <v>1221.1691219624681</v>
      </c>
    </row>
    <row r="6" spans="1:16" x14ac:dyDescent="0.25">
      <c r="A6" s="42">
        <v>3</v>
      </c>
      <c r="B6" s="268">
        <f t="shared" si="0"/>
        <v>1.8000000000000002E-3</v>
      </c>
      <c r="C6" s="268">
        <f t="shared" si="1"/>
        <v>8.5749999999999976E-3</v>
      </c>
      <c r="D6" s="268">
        <f>C7</f>
        <v>8.5749999999999976E-3</v>
      </c>
      <c r="E6" s="268">
        <v>3.3</v>
      </c>
      <c r="F6" s="268">
        <v>5</v>
      </c>
      <c r="G6" s="268">
        <v>315000</v>
      </c>
      <c r="H6" s="268">
        <v>10</v>
      </c>
      <c r="I6" s="92">
        <f t="shared" si="2"/>
        <v>1.8000000000000002E-2</v>
      </c>
      <c r="J6" s="92">
        <v>14</v>
      </c>
      <c r="K6" s="92">
        <f t="shared" si="3"/>
        <v>0.12004999999999996</v>
      </c>
      <c r="L6">
        <f t="shared" si="4"/>
        <v>0.12004999999999996</v>
      </c>
      <c r="M6">
        <f t="shared" si="5"/>
        <v>5.4545454545454558E-3</v>
      </c>
      <c r="N6">
        <f t="shared" si="6"/>
        <v>2.4009999999999993E-2</v>
      </c>
      <c r="O6">
        <f t="shared" si="7"/>
        <v>2.4009999999999993E-2</v>
      </c>
      <c r="P6" s="276">
        <f t="shared" ref="P6:P8" si="8">(12*G6*I6/E6^3)*(1/((1+0.5*((G6*M6)/(G6*N6))+((G6*M6)/(G6*O6)))))</f>
        <v>1412.111985559887</v>
      </c>
    </row>
    <row r="7" spans="1:16" x14ac:dyDescent="0.25">
      <c r="A7" s="42">
        <v>2</v>
      </c>
      <c r="B7" s="268">
        <f t="shared" si="0"/>
        <v>1.8000000000000002E-3</v>
      </c>
      <c r="C7" s="268">
        <f t="shared" si="1"/>
        <v>8.5749999999999976E-3</v>
      </c>
      <c r="D7" s="268">
        <f>C8</f>
        <v>8.5749999999999976E-3</v>
      </c>
      <c r="E7" s="268">
        <v>3.3</v>
      </c>
      <c r="F7" s="268">
        <v>5</v>
      </c>
      <c r="G7" s="268">
        <v>315000</v>
      </c>
      <c r="H7" s="268">
        <v>10</v>
      </c>
      <c r="I7" s="92">
        <f t="shared" si="2"/>
        <v>1.8000000000000002E-2</v>
      </c>
      <c r="J7" s="92">
        <v>14</v>
      </c>
      <c r="K7" s="92">
        <f t="shared" si="3"/>
        <v>0.12004999999999996</v>
      </c>
      <c r="L7">
        <f t="shared" si="4"/>
        <v>0.12004999999999996</v>
      </c>
      <c r="M7">
        <f t="shared" si="5"/>
        <v>5.4545454545454558E-3</v>
      </c>
      <c r="N7">
        <f t="shared" si="6"/>
        <v>2.4009999999999993E-2</v>
      </c>
      <c r="O7">
        <f t="shared" si="7"/>
        <v>2.4009999999999993E-2</v>
      </c>
      <c r="P7" s="276">
        <f t="shared" si="8"/>
        <v>1412.111985559887</v>
      </c>
    </row>
    <row r="8" spans="1:16" x14ac:dyDescent="0.25">
      <c r="A8" s="42">
        <v>1</v>
      </c>
      <c r="B8" s="268">
        <f t="shared" si="0"/>
        <v>1.8000000000000002E-3</v>
      </c>
      <c r="C8" s="268">
        <f t="shared" si="1"/>
        <v>8.5749999999999976E-3</v>
      </c>
      <c r="D8" s="274">
        <f>(B28*C28^3)/12</f>
        <v>3.3333333333333333E-2</v>
      </c>
      <c r="E8" s="268">
        <v>3.9</v>
      </c>
      <c r="F8" s="268">
        <v>5</v>
      </c>
      <c r="G8" s="268">
        <v>315000</v>
      </c>
      <c r="H8" s="268">
        <v>10</v>
      </c>
      <c r="I8" s="92">
        <f t="shared" si="2"/>
        <v>1.8000000000000002E-2</v>
      </c>
      <c r="J8" s="92">
        <v>14</v>
      </c>
      <c r="K8" s="92">
        <f t="shared" si="3"/>
        <v>0.12004999999999996</v>
      </c>
      <c r="L8">
        <f t="shared" si="4"/>
        <v>0.46666666666666667</v>
      </c>
      <c r="M8">
        <f t="shared" si="5"/>
        <v>4.6153846153846158E-3</v>
      </c>
      <c r="N8">
        <f t="shared" si="6"/>
        <v>2.4009999999999993E-2</v>
      </c>
      <c r="O8">
        <f t="shared" si="7"/>
        <v>9.3333333333333338E-2</v>
      </c>
      <c r="P8" s="276">
        <f t="shared" si="8"/>
        <v>1001.2695171821701</v>
      </c>
    </row>
    <row r="9" spans="1:16" x14ac:dyDescent="0.25">
      <c r="A9" s="27"/>
    </row>
    <row r="10" spans="1:16" x14ac:dyDescent="0.25">
      <c r="A10" s="27"/>
    </row>
    <row r="11" spans="1:16" ht="15.75" thickBot="1" x14ac:dyDescent="0.3">
      <c r="A11" s="27"/>
    </row>
    <row r="12" spans="1:16" x14ac:dyDescent="0.25">
      <c r="A12" s="260"/>
      <c r="B12" s="267" t="s">
        <v>64</v>
      </c>
      <c r="C12" s="261"/>
      <c r="F12" s="169"/>
      <c r="G12" s="301"/>
      <c r="H12" s="301"/>
      <c r="I12" s="301"/>
      <c r="J12" s="268"/>
      <c r="K12" s="268"/>
      <c r="L12" s="301"/>
      <c r="M12" s="301"/>
    </row>
    <row r="13" spans="1:16" ht="15.75" thickBot="1" x14ac:dyDescent="0.3">
      <c r="A13" s="191"/>
      <c r="B13" s="44" t="s">
        <v>207</v>
      </c>
      <c r="C13" s="242" t="s">
        <v>9</v>
      </c>
      <c r="D13" s="14"/>
      <c r="F13" s="14"/>
    </row>
    <row r="14" spans="1:16" x14ac:dyDescent="0.25">
      <c r="A14" s="262" t="s">
        <v>22</v>
      </c>
      <c r="B14" s="25">
        <v>0.6</v>
      </c>
      <c r="C14" s="271">
        <v>0.3</v>
      </c>
      <c r="F14" s="230"/>
    </row>
    <row r="15" spans="1:16" x14ac:dyDescent="0.25">
      <c r="A15" s="263">
        <v>4</v>
      </c>
      <c r="B15" s="25">
        <v>0.7</v>
      </c>
      <c r="C15" s="271">
        <v>0.3</v>
      </c>
      <c r="F15" s="230"/>
    </row>
    <row r="16" spans="1:16" x14ac:dyDescent="0.25">
      <c r="A16" s="263">
        <v>3</v>
      </c>
      <c r="B16" s="25">
        <v>0.8</v>
      </c>
      <c r="C16" s="271">
        <v>0.3</v>
      </c>
      <c r="F16" s="230"/>
    </row>
    <row r="17" spans="1:16" x14ac:dyDescent="0.25">
      <c r="A17" s="263">
        <v>2</v>
      </c>
      <c r="B17" s="25">
        <v>0.8</v>
      </c>
      <c r="C17" s="271">
        <v>0.3</v>
      </c>
      <c r="F17" s="230"/>
    </row>
    <row r="18" spans="1:16" ht="15.75" thickBot="1" x14ac:dyDescent="0.3">
      <c r="A18" s="264">
        <v>1</v>
      </c>
      <c r="B18" s="25">
        <v>0.8</v>
      </c>
      <c r="C18" s="271">
        <v>0.3</v>
      </c>
      <c r="E18" s="27"/>
      <c r="F18" s="230"/>
    </row>
    <row r="20" spans="1:16" ht="15.75" thickBot="1" x14ac:dyDescent="0.3"/>
    <row r="21" spans="1:16" x14ac:dyDescent="0.25">
      <c r="A21" s="260"/>
      <c r="B21" s="269" t="s">
        <v>47</v>
      </c>
      <c r="C21" s="261"/>
    </row>
    <row r="22" spans="1:16" ht="15.75" thickBot="1" x14ac:dyDescent="0.3">
      <c r="A22" s="191"/>
      <c r="B22" s="44" t="s">
        <v>53</v>
      </c>
      <c r="C22" s="242" t="s">
        <v>61</v>
      </c>
    </row>
    <row r="23" spans="1:16" x14ac:dyDescent="0.25">
      <c r="A23" s="262" t="s">
        <v>22</v>
      </c>
      <c r="B23" s="265">
        <v>0.25</v>
      </c>
      <c r="C23" s="228">
        <v>0.6</v>
      </c>
    </row>
    <row r="24" spans="1:16" x14ac:dyDescent="0.25">
      <c r="A24" s="263">
        <v>4</v>
      </c>
      <c r="B24" s="266">
        <v>0.3</v>
      </c>
      <c r="C24" s="228">
        <v>0.6</v>
      </c>
    </row>
    <row r="25" spans="1:16" x14ac:dyDescent="0.25">
      <c r="A25" s="263">
        <v>3</v>
      </c>
      <c r="B25" s="266">
        <v>0.3</v>
      </c>
      <c r="C25" s="228">
        <v>0.7</v>
      </c>
    </row>
    <row r="26" spans="1:16" x14ac:dyDescent="0.25">
      <c r="A26" s="263">
        <v>2</v>
      </c>
      <c r="B26" s="266">
        <v>0.3</v>
      </c>
      <c r="C26" s="228">
        <v>0.7</v>
      </c>
    </row>
    <row r="27" spans="1:16" ht="15.75" thickBot="1" x14ac:dyDescent="0.3">
      <c r="A27" s="264">
        <v>1</v>
      </c>
      <c r="B27" s="266">
        <v>0.3</v>
      </c>
      <c r="C27" s="228">
        <v>0.7</v>
      </c>
    </row>
    <row r="28" spans="1:16" x14ac:dyDescent="0.25">
      <c r="B28" s="272">
        <v>0.4</v>
      </c>
      <c r="C28" s="273">
        <v>1</v>
      </c>
    </row>
    <row r="31" spans="1:16" x14ac:dyDescent="0.25">
      <c r="A31" t="s">
        <v>217</v>
      </c>
    </row>
    <row r="32" spans="1:16" x14ac:dyDescent="0.25">
      <c r="A32" s="66" t="s">
        <v>20</v>
      </c>
      <c r="B32" s="92" t="s">
        <v>200</v>
      </c>
      <c r="C32" s="92" t="s">
        <v>202</v>
      </c>
      <c r="D32" s="92" t="s">
        <v>201</v>
      </c>
      <c r="E32" s="92" t="s">
        <v>204</v>
      </c>
      <c r="F32" s="92" t="s">
        <v>203</v>
      </c>
      <c r="G32" s="92" t="s">
        <v>205</v>
      </c>
      <c r="H32" t="s">
        <v>209</v>
      </c>
      <c r="I32" s="275" t="s">
        <v>208</v>
      </c>
      <c r="J32" s="275" t="s">
        <v>211</v>
      </c>
      <c r="K32" s="275" t="s">
        <v>210</v>
      </c>
      <c r="L32" s="92" t="s">
        <v>212</v>
      </c>
      <c r="M32" s="92" t="s">
        <v>214</v>
      </c>
      <c r="N32" t="s">
        <v>215</v>
      </c>
      <c r="O32" t="s">
        <v>216</v>
      </c>
      <c r="P32" s="92" t="s">
        <v>213</v>
      </c>
    </row>
    <row r="33" spans="1:16" x14ac:dyDescent="0.25">
      <c r="A33" s="42"/>
    </row>
    <row r="34" spans="1:16" x14ac:dyDescent="0.25">
      <c r="A34" s="42" t="s">
        <v>22</v>
      </c>
      <c r="B34">
        <f>(C14*B14^3)/12</f>
        <v>5.3999999999999994E-3</v>
      </c>
      <c r="C34" s="268">
        <f>(B23*C23^3)/12</f>
        <v>4.4999999999999997E-3</v>
      </c>
      <c r="D34" s="268">
        <f>C35</f>
        <v>5.3999999999999994E-3</v>
      </c>
      <c r="E34" s="268">
        <v>1.95</v>
      </c>
      <c r="F34" s="268">
        <v>5</v>
      </c>
      <c r="G34" s="268">
        <v>315000</v>
      </c>
      <c r="H34" s="268">
        <v>11</v>
      </c>
      <c r="I34" s="92">
        <f>B34*H34</f>
        <v>5.9399999999999994E-2</v>
      </c>
      <c r="J34" s="92">
        <v>11</v>
      </c>
      <c r="K34" s="92">
        <f>C34*J34</f>
        <v>4.9499999999999995E-2</v>
      </c>
      <c r="L34">
        <f>D34*J34</f>
        <v>5.9399999999999994E-2</v>
      </c>
      <c r="M34">
        <f>I34/E34</f>
        <v>3.046153846153846E-2</v>
      </c>
      <c r="N34">
        <f>K34/F34</f>
        <v>9.8999999999999991E-3</v>
      </c>
      <c r="O34">
        <f>L34/F34</f>
        <v>1.1879999999999998E-2</v>
      </c>
      <c r="P34" s="276">
        <f>(12*G34*I34/E34^3)*(1/((1+0.5*((G34*M34)/(G34*N34))+((G34*M34)/(G34*O34)))))</f>
        <v>5934.5246944783075</v>
      </c>
    </row>
    <row r="35" spans="1:16" x14ac:dyDescent="0.25">
      <c r="A35" s="42">
        <v>4</v>
      </c>
      <c r="B35">
        <f t="shared" ref="B35:B38" si="9">(C15*B15^3)/12</f>
        <v>8.5749999999999976E-3</v>
      </c>
      <c r="C35" s="268">
        <f t="shared" ref="C35:C38" si="10">(B24*C24^3)/12</f>
        <v>5.3999999999999994E-3</v>
      </c>
      <c r="D35" s="268">
        <f>C36</f>
        <v>8.5749999999999976E-3</v>
      </c>
      <c r="E35" s="268">
        <v>3.3</v>
      </c>
      <c r="F35" s="268">
        <v>5</v>
      </c>
      <c r="G35" s="268">
        <v>315000</v>
      </c>
      <c r="H35" s="268">
        <v>11</v>
      </c>
      <c r="I35" s="92">
        <f t="shared" ref="I35:I38" si="11">B35*H35</f>
        <v>9.4324999999999978E-2</v>
      </c>
      <c r="J35" s="92">
        <v>11</v>
      </c>
      <c r="K35" s="92">
        <f t="shared" ref="K35:K38" si="12">C35*J35</f>
        <v>5.9399999999999994E-2</v>
      </c>
      <c r="L35">
        <f t="shared" ref="L35:L38" si="13">D35*J35</f>
        <v>9.4324999999999978E-2</v>
      </c>
      <c r="M35">
        <f t="shared" ref="M35:M38" si="14">I35/E35</f>
        <v>2.8583333333333329E-2</v>
      </c>
      <c r="N35">
        <f t="shared" ref="N35:N38" si="15">K35/F35</f>
        <v>1.1879999999999998E-2</v>
      </c>
      <c r="O35">
        <f t="shared" ref="O35:O38" si="16">L35/F35</f>
        <v>1.8864999999999996E-2</v>
      </c>
      <c r="P35" s="276">
        <f t="shared" ref="P35:P38" si="17">(12*G35*I35/E35^3)*(1/((1+0.5*((G35*M35)/(G35*N35))+((G35*M35)/(G35*O35)))))</f>
        <v>2668.3908854229194</v>
      </c>
    </row>
    <row r="36" spans="1:16" x14ac:dyDescent="0.25">
      <c r="A36" s="42">
        <v>3</v>
      </c>
      <c r="B36">
        <f t="shared" si="9"/>
        <v>1.2800000000000004E-2</v>
      </c>
      <c r="C36" s="268">
        <f t="shared" si="10"/>
        <v>8.5749999999999976E-3</v>
      </c>
      <c r="D36" s="268">
        <f>C37</f>
        <v>8.5749999999999976E-3</v>
      </c>
      <c r="E36" s="268">
        <v>3.3</v>
      </c>
      <c r="F36" s="268">
        <v>5</v>
      </c>
      <c r="G36" s="268">
        <v>315000</v>
      </c>
      <c r="H36" s="268">
        <v>11</v>
      </c>
      <c r="I36" s="92">
        <f t="shared" si="11"/>
        <v>0.14080000000000004</v>
      </c>
      <c r="J36" s="92">
        <v>11</v>
      </c>
      <c r="K36" s="92">
        <f t="shared" si="12"/>
        <v>9.4324999999999978E-2</v>
      </c>
      <c r="L36">
        <f t="shared" si="13"/>
        <v>9.4324999999999978E-2</v>
      </c>
      <c r="M36">
        <f t="shared" si="14"/>
        <v>4.2666666666666679E-2</v>
      </c>
      <c r="N36">
        <f t="shared" si="15"/>
        <v>1.8864999999999996E-2</v>
      </c>
      <c r="O36">
        <f t="shared" si="16"/>
        <v>1.8864999999999996E-2</v>
      </c>
      <c r="P36" s="276">
        <f t="shared" si="17"/>
        <v>3371.6175817183475</v>
      </c>
    </row>
    <row r="37" spans="1:16" x14ac:dyDescent="0.25">
      <c r="A37" s="42">
        <v>2</v>
      </c>
      <c r="B37">
        <f t="shared" si="9"/>
        <v>1.2800000000000004E-2</v>
      </c>
      <c r="C37" s="268">
        <f t="shared" si="10"/>
        <v>8.5749999999999976E-3</v>
      </c>
      <c r="D37" s="268">
        <f>C38</f>
        <v>8.5749999999999976E-3</v>
      </c>
      <c r="E37" s="268">
        <v>3.3</v>
      </c>
      <c r="F37" s="268">
        <v>5</v>
      </c>
      <c r="G37" s="268">
        <v>315000</v>
      </c>
      <c r="H37" s="268">
        <v>11</v>
      </c>
      <c r="I37" s="92">
        <f t="shared" si="11"/>
        <v>0.14080000000000004</v>
      </c>
      <c r="J37" s="92">
        <v>11</v>
      </c>
      <c r="K37" s="92">
        <f t="shared" si="12"/>
        <v>9.4324999999999978E-2</v>
      </c>
      <c r="L37">
        <f t="shared" si="13"/>
        <v>9.4324999999999978E-2</v>
      </c>
      <c r="M37">
        <f t="shared" si="14"/>
        <v>4.2666666666666679E-2</v>
      </c>
      <c r="N37">
        <f t="shared" si="15"/>
        <v>1.8864999999999996E-2</v>
      </c>
      <c r="O37">
        <f t="shared" si="16"/>
        <v>1.8864999999999996E-2</v>
      </c>
      <c r="P37" s="276">
        <f t="shared" si="17"/>
        <v>3371.6175817183475</v>
      </c>
    </row>
    <row r="38" spans="1:16" x14ac:dyDescent="0.25">
      <c r="A38" s="42">
        <v>1</v>
      </c>
      <c r="B38">
        <f t="shared" si="9"/>
        <v>1.2800000000000004E-2</v>
      </c>
      <c r="C38" s="268">
        <f t="shared" si="10"/>
        <v>8.5749999999999976E-3</v>
      </c>
      <c r="D38" s="274">
        <f>(B28*C28^3)/12</f>
        <v>3.3333333333333333E-2</v>
      </c>
      <c r="E38" s="268">
        <v>3.9</v>
      </c>
      <c r="F38" s="268">
        <v>5</v>
      </c>
      <c r="G38" s="268">
        <v>315000</v>
      </c>
      <c r="H38" s="268">
        <v>11</v>
      </c>
      <c r="I38" s="92">
        <f t="shared" si="11"/>
        <v>0.14080000000000004</v>
      </c>
      <c r="J38" s="92">
        <v>11</v>
      </c>
      <c r="K38" s="92">
        <f t="shared" si="12"/>
        <v>9.4324999999999978E-2</v>
      </c>
      <c r="L38">
        <f t="shared" si="13"/>
        <v>0.36666666666666664</v>
      </c>
      <c r="M38">
        <f t="shared" si="14"/>
        <v>3.6102564102564114E-2</v>
      </c>
      <c r="N38">
        <f t="shared" si="15"/>
        <v>1.8864999999999996E-2</v>
      </c>
      <c r="O38">
        <f t="shared" si="16"/>
        <v>7.3333333333333334E-2</v>
      </c>
      <c r="P38" s="276">
        <f t="shared" si="17"/>
        <v>3663.3718263757019</v>
      </c>
    </row>
  </sheetData>
  <mergeCells count="2">
    <mergeCell ref="G12:I12"/>
    <mergeCell ref="L12:M1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opLeftCell="A70" workbookViewId="0">
      <selection activeCell="A86" sqref="A86:A90"/>
    </sheetView>
  </sheetViews>
  <sheetFormatPr defaultRowHeight="15" x14ac:dyDescent="0.25"/>
  <cols>
    <col min="1" max="1" width="27" customWidth="1"/>
    <col min="2" max="2" width="9.5703125" bestFit="1" customWidth="1"/>
    <col min="3" max="3" width="15" bestFit="1" customWidth="1"/>
    <col min="4" max="4" width="18.28515625" customWidth="1"/>
    <col min="6" max="6" width="20" customWidth="1"/>
    <col min="8" max="8" width="19.7109375" customWidth="1"/>
    <col min="9" max="9" width="9.5703125" bestFit="1" customWidth="1"/>
    <col min="10" max="10" width="10.5703125" bestFit="1" customWidth="1"/>
    <col min="13" max="13" width="24" customWidth="1"/>
  </cols>
  <sheetData>
    <row r="1" spans="1:13" x14ac:dyDescent="0.25">
      <c r="A1" s="172" t="s">
        <v>102</v>
      </c>
      <c r="B1" s="172"/>
    </row>
    <row r="3" spans="1:13" x14ac:dyDescent="0.25">
      <c r="A3" s="172" t="s">
        <v>103</v>
      </c>
    </row>
    <row r="5" spans="1:13" x14ac:dyDescent="0.25">
      <c r="A5" s="178" t="s">
        <v>105</v>
      </c>
      <c r="D5" s="14"/>
      <c r="H5" s="178" t="s">
        <v>117</v>
      </c>
    </row>
    <row r="6" spans="1:13" ht="15.75" thickBot="1" x14ac:dyDescent="0.3">
      <c r="A6" s="182"/>
      <c r="D6" s="179"/>
    </row>
    <row r="7" spans="1:13" x14ac:dyDescent="0.25">
      <c r="A7" s="195" t="s">
        <v>107</v>
      </c>
      <c r="B7" s="183"/>
      <c r="C7" s="183"/>
      <c r="D7" s="184" t="s">
        <v>115</v>
      </c>
      <c r="E7" s="185" t="s">
        <v>74</v>
      </c>
      <c r="F7" s="186" t="s">
        <v>113</v>
      </c>
      <c r="H7" s="195" t="s">
        <v>107</v>
      </c>
      <c r="I7" s="183"/>
      <c r="J7" s="183"/>
      <c r="K7" s="184" t="s">
        <v>115</v>
      </c>
      <c r="L7" s="185" t="s">
        <v>74</v>
      </c>
      <c r="M7" s="186" t="s">
        <v>113</v>
      </c>
    </row>
    <row r="8" spans="1:13" x14ac:dyDescent="0.25">
      <c r="A8" s="187"/>
      <c r="B8" s="14"/>
      <c r="C8" s="14"/>
      <c r="D8" s="180"/>
      <c r="E8" s="14"/>
      <c r="F8" s="188"/>
      <c r="H8" s="187"/>
      <c r="I8" s="14"/>
      <c r="J8" s="14"/>
      <c r="K8" s="180"/>
      <c r="L8" s="14"/>
      <c r="M8" s="188"/>
    </row>
    <row r="9" spans="1:13" x14ac:dyDescent="0.25">
      <c r="A9" s="189" t="s">
        <v>156</v>
      </c>
      <c r="B9" s="176"/>
      <c r="C9" s="177"/>
      <c r="D9" s="51">
        <f>[2]Rigidezza!$L$5</f>
        <v>44.353458944316451</v>
      </c>
      <c r="E9" s="44">
        <v>6</v>
      </c>
      <c r="F9" s="190">
        <f>$D9*$E9</f>
        <v>266.12075366589869</v>
      </c>
      <c r="H9" s="189" t="s">
        <v>156</v>
      </c>
      <c r="I9" s="176"/>
      <c r="J9" s="177"/>
      <c r="K9" s="51">
        <f>[2]Rigidezza!$L$5</f>
        <v>44.353458944316451</v>
      </c>
      <c r="L9" s="44">
        <v>2</v>
      </c>
      <c r="M9" s="190">
        <f>$K9*$L9</f>
        <v>88.706917888632901</v>
      </c>
    </row>
    <row r="10" spans="1:13" x14ac:dyDescent="0.25">
      <c r="A10" s="189" t="s">
        <v>157</v>
      </c>
      <c r="B10" s="176"/>
      <c r="C10" s="177"/>
      <c r="D10" s="51">
        <f>[3]Rigidezza!$L$5</f>
        <v>26.549948533385056</v>
      </c>
      <c r="E10" s="44">
        <v>4</v>
      </c>
      <c r="F10" s="190">
        <f t="shared" ref="F10:F13" si="0">$D10*$E10</f>
        <v>106.19979413354022</v>
      </c>
      <c r="H10" s="189" t="s">
        <v>157</v>
      </c>
      <c r="I10" s="176"/>
      <c r="J10" s="177"/>
      <c r="K10" s="51">
        <f>[3]Rigidezza!$L$5</f>
        <v>26.549948533385056</v>
      </c>
      <c r="L10" s="44">
        <v>9</v>
      </c>
      <c r="M10" s="190">
        <f>$K10*$L10</f>
        <v>238.94953680046549</v>
      </c>
    </row>
    <row r="11" spans="1:13" x14ac:dyDescent="0.25">
      <c r="A11" s="189" t="s">
        <v>158</v>
      </c>
      <c r="B11" s="176"/>
      <c r="C11" s="177"/>
      <c r="D11" s="51">
        <f>[4]Rigidezza!$L$5</f>
        <v>14.719701369009202</v>
      </c>
      <c r="E11" s="44">
        <v>1</v>
      </c>
      <c r="F11" s="190">
        <f t="shared" si="0"/>
        <v>14.719701369009202</v>
      </c>
      <c r="H11" s="189" t="s">
        <v>158</v>
      </c>
      <c r="I11" s="176"/>
      <c r="J11" s="177"/>
      <c r="K11" s="51">
        <f>[4]Rigidezza!$L$5</f>
        <v>14.719701369009202</v>
      </c>
      <c r="L11" s="44">
        <v>1</v>
      </c>
      <c r="M11" s="190">
        <f>$K11*$L11</f>
        <v>14.719701369009202</v>
      </c>
    </row>
    <row r="12" spans="1:13" x14ac:dyDescent="0.25">
      <c r="A12" s="189" t="s">
        <v>159</v>
      </c>
      <c r="B12" s="176"/>
      <c r="C12" s="177"/>
      <c r="D12" s="51">
        <f>[5]Rigidezza!$L$5</f>
        <v>12.040234408191751</v>
      </c>
      <c r="E12" s="44">
        <v>10</v>
      </c>
      <c r="F12" s="190">
        <f t="shared" si="0"/>
        <v>120.40234408191751</v>
      </c>
      <c r="H12" s="189" t="s">
        <v>159</v>
      </c>
      <c r="I12" s="176"/>
      <c r="J12" s="177"/>
      <c r="K12" s="51">
        <f>[5]Rigidezza!$L$5</f>
        <v>12.040234408191751</v>
      </c>
      <c r="L12" s="44">
        <v>7</v>
      </c>
      <c r="M12" s="190">
        <f>$K12*$L12</f>
        <v>84.281640857342254</v>
      </c>
    </row>
    <row r="13" spans="1:13" x14ac:dyDescent="0.25">
      <c r="A13" s="189" t="s">
        <v>160</v>
      </c>
      <c r="B13" s="176"/>
      <c r="C13" s="177"/>
      <c r="D13" s="51">
        <f>[6]Rigidezza!$L$5</f>
        <v>4.5712129677330404</v>
      </c>
      <c r="E13" s="44">
        <v>0</v>
      </c>
      <c r="F13" s="190">
        <f t="shared" si="0"/>
        <v>0</v>
      </c>
      <c r="H13" s="189" t="s">
        <v>160</v>
      </c>
      <c r="I13" s="176"/>
      <c r="J13" s="177"/>
      <c r="K13" s="51">
        <f>[6]Rigidezza!$L$5</f>
        <v>4.5712129677330404</v>
      </c>
      <c r="L13" s="44">
        <v>2</v>
      </c>
      <c r="M13" s="190">
        <f>$K13*$L13</f>
        <v>9.1424259354660808</v>
      </c>
    </row>
    <row r="14" spans="1:13" x14ac:dyDescent="0.25">
      <c r="A14" s="191"/>
      <c r="B14" s="14"/>
      <c r="C14" s="14"/>
      <c r="D14" s="14"/>
      <c r="E14" s="14"/>
      <c r="F14" s="188"/>
      <c r="H14" s="191"/>
      <c r="I14" s="14"/>
      <c r="J14" s="14"/>
      <c r="K14" s="14"/>
      <c r="L14" s="14"/>
      <c r="M14" s="190"/>
    </row>
    <row r="15" spans="1:13" ht="15.75" thickBot="1" x14ac:dyDescent="0.3">
      <c r="A15" s="192" t="s">
        <v>114</v>
      </c>
      <c r="B15" s="193"/>
      <c r="C15" s="193"/>
      <c r="D15" s="193"/>
      <c r="E15" s="193"/>
      <c r="F15" s="194">
        <f>SUM(F9:F13)</f>
        <v>507.44259325036569</v>
      </c>
      <c r="H15" s="192" t="s">
        <v>121</v>
      </c>
      <c r="I15" s="193"/>
      <c r="J15" s="193"/>
      <c r="K15" s="193"/>
      <c r="L15" s="193"/>
      <c r="M15" s="194">
        <f>SUM(M9:M13)</f>
        <v>435.80022285091593</v>
      </c>
    </row>
    <row r="17" spans="1:13" ht="15.75" thickBot="1" x14ac:dyDescent="0.3"/>
    <row r="18" spans="1:13" x14ac:dyDescent="0.25">
      <c r="A18" s="195" t="s">
        <v>192</v>
      </c>
      <c r="B18" s="257"/>
      <c r="C18" s="257"/>
      <c r="D18" s="184" t="s">
        <v>115</v>
      </c>
      <c r="E18" s="185" t="s">
        <v>74</v>
      </c>
      <c r="F18" s="186" t="s">
        <v>113</v>
      </c>
      <c r="H18" s="195" t="s">
        <v>192</v>
      </c>
      <c r="I18" s="257"/>
      <c r="J18" s="257"/>
      <c r="K18" s="184" t="s">
        <v>115</v>
      </c>
      <c r="L18" s="185" t="s">
        <v>74</v>
      </c>
      <c r="M18" s="186" t="s">
        <v>113</v>
      </c>
    </row>
    <row r="19" spans="1:13" x14ac:dyDescent="0.25">
      <c r="A19" s="187"/>
      <c r="B19" s="14"/>
      <c r="C19" s="14"/>
      <c r="D19" s="180"/>
      <c r="E19" s="14"/>
      <c r="F19" s="188"/>
      <c r="H19" s="187"/>
      <c r="I19" s="14"/>
      <c r="J19" s="14"/>
      <c r="K19" s="180"/>
      <c r="L19" s="14"/>
      <c r="M19" s="188"/>
    </row>
    <row r="20" spans="1:13" x14ac:dyDescent="0.25">
      <c r="A20" s="189" t="s">
        <v>187</v>
      </c>
      <c r="B20" s="176"/>
      <c r="C20" s="177"/>
      <c r="D20" s="51">
        <f>[7]Rigidezza!$L$6</f>
        <v>83.348974814285228</v>
      </c>
      <c r="E20" s="44">
        <v>7</v>
      </c>
      <c r="F20" s="190">
        <f>$D20*$E20</f>
        <v>583.44282369999655</v>
      </c>
      <c r="H20" s="189" t="s">
        <v>187</v>
      </c>
      <c r="I20" s="176"/>
      <c r="J20" s="177"/>
      <c r="K20" s="51">
        <f>[7]Rigidezza!$L$6</f>
        <v>83.348974814285228</v>
      </c>
      <c r="L20" s="44">
        <v>1</v>
      </c>
      <c r="M20" s="190">
        <f>$K20*$L20</f>
        <v>83.348974814285228</v>
      </c>
    </row>
    <row r="21" spans="1:13" x14ac:dyDescent="0.25">
      <c r="A21" s="189" t="s">
        <v>188</v>
      </c>
      <c r="B21" s="176"/>
      <c r="C21" s="177"/>
      <c r="D21" s="51">
        <f>[8]Rigidezza!$L$6</f>
        <v>47.639485616979769</v>
      </c>
      <c r="E21" s="44">
        <v>2</v>
      </c>
      <c r="F21" s="190">
        <f t="shared" ref="F21:F24" si="1">$D21*$E21</f>
        <v>95.278971233959538</v>
      </c>
      <c r="H21" s="189" t="s">
        <v>188</v>
      </c>
      <c r="I21" s="176"/>
      <c r="J21" s="177"/>
      <c r="K21" s="51">
        <f>[8]Rigidezza!$L$6</f>
        <v>47.639485616979769</v>
      </c>
      <c r="L21" s="44">
        <v>6</v>
      </c>
      <c r="M21" s="190">
        <f>$K21*$L21</f>
        <v>285.83691370187864</v>
      </c>
    </row>
    <row r="22" spans="1:13" x14ac:dyDescent="0.25">
      <c r="A22" s="189" t="s">
        <v>189</v>
      </c>
      <c r="B22" s="176"/>
      <c r="C22" s="177"/>
      <c r="D22" s="51">
        <f>[9]Rigidezza!$L$5</f>
        <v>51.839007792812737</v>
      </c>
      <c r="E22" s="44">
        <v>0</v>
      </c>
      <c r="F22" s="190">
        <f t="shared" si="1"/>
        <v>0</v>
      </c>
      <c r="H22" s="189" t="s">
        <v>189</v>
      </c>
      <c r="I22" s="176"/>
      <c r="J22" s="177"/>
      <c r="K22" s="51">
        <f>[9]Rigidezza!$L$5</f>
        <v>51.839007792812737</v>
      </c>
      <c r="L22" s="44">
        <v>0</v>
      </c>
      <c r="M22" s="190">
        <f>$K22*$L22</f>
        <v>0</v>
      </c>
    </row>
    <row r="23" spans="1:13" x14ac:dyDescent="0.25">
      <c r="A23" s="189" t="s">
        <v>190</v>
      </c>
      <c r="B23" s="176"/>
      <c r="C23" s="177"/>
      <c r="D23" s="51">
        <f>[10]Rigidezza!$L$5</f>
        <v>34.161908561200633</v>
      </c>
      <c r="E23" s="44">
        <v>7</v>
      </c>
      <c r="F23" s="190">
        <f t="shared" si="1"/>
        <v>239.13335992840445</v>
      </c>
      <c r="H23" s="189" t="s">
        <v>190</v>
      </c>
      <c r="I23" s="176"/>
      <c r="J23" s="177"/>
      <c r="K23" s="51">
        <f>[10]Rigidezza!$L$5</f>
        <v>34.161908561200633</v>
      </c>
      <c r="L23" s="44">
        <v>6</v>
      </c>
      <c r="M23" s="190">
        <f>$K23*$L23</f>
        <v>204.9714513672038</v>
      </c>
    </row>
    <row r="24" spans="1:13" x14ac:dyDescent="0.25">
      <c r="A24" s="189" t="s">
        <v>191</v>
      </c>
      <c r="B24" s="176"/>
      <c r="C24" s="177"/>
      <c r="D24" s="51">
        <f>[11]Rigidezza!$L$5</f>
        <v>51.839007792812737</v>
      </c>
      <c r="E24" s="44">
        <v>0</v>
      </c>
      <c r="F24" s="190">
        <f t="shared" si="1"/>
        <v>0</v>
      </c>
      <c r="H24" s="189" t="s">
        <v>191</v>
      </c>
      <c r="I24" s="176"/>
      <c r="J24" s="177"/>
      <c r="K24" s="51">
        <f>[11]Rigidezza!$L$5</f>
        <v>51.839007792812737</v>
      </c>
      <c r="L24" s="44">
        <v>2</v>
      </c>
      <c r="M24" s="190">
        <f>$K24*$L24</f>
        <v>103.67801558562547</v>
      </c>
    </row>
    <row r="25" spans="1:13" x14ac:dyDescent="0.25">
      <c r="A25" s="191"/>
      <c r="B25" s="14"/>
      <c r="C25" s="14"/>
      <c r="D25" s="14"/>
      <c r="E25" s="14"/>
      <c r="F25" s="188"/>
      <c r="H25" s="191"/>
      <c r="I25" s="14"/>
      <c r="J25" s="14"/>
      <c r="K25" s="14"/>
      <c r="L25" s="14"/>
      <c r="M25" s="190"/>
    </row>
    <row r="26" spans="1:13" ht="15.75" thickBot="1" x14ac:dyDescent="0.3">
      <c r="A26" s="192" t="s">
        <v>114</v>
      </c>
      <c r="B26" s="193"/>
      <c r="C26" s="193"/>
      <c r="D26" s="193"/>
      <c r="E26" s="193"/>
      <c r="F26" s="194">
        <f>SUM(F20:F24)</f>
        <v>917.85515486236045</v>
      </c>
      <c r="H26" s="192" t="s">
        <v>121</v>
      </c>
      <c r="I26" s="193"/>
      <c r="J26" s="193"/>
      <c r="K26" s="193"/>
      <c r="L26" s="193"/>
      <c r="M26" s="194">
        <f>SUM(M20:M24)</f>
        <v>677.83535546899316</v>
      </c>
    </row>
    <row r="27" spans="1:13" x14ac:dyDescent="0.25">
      <c r="A27" s="169"/>
      <c r="B27" s="14"/>
      <c r="C27" s="14"/>
      <c r="D27" s="14"/>
      <c r="E27" s="14"/>
      <c r="F27" s="256"/>
      <c r="H27" s="169"/>
      <c r="I27" s="14"/>
      <c r="J27" s="14"/>
      <c r="K27" s="14"/>
      <c r="L27" s="14"/>
      <c r="M27" s="256"/>
    </row>
    <row r="28" spans="1:13" ht="15.75" thickBot="1" x14ac:dyDescent="0.3">
      <c r="A28" s="169"/>
      <c r="B28" s="14"/>
      <c r="C28" s="14"/>
      <c r="D28" s="14"/>
      <c r="E28" s="14"/>
      <c r="F28" s="256"/>
      <c r="H28" s="169"/>
      <c r="I28" s="14"/>
      <c r="J28" s="14"/>
      <c r="K28" s="14"/>
      <c r="L28" s="14"/>
      <c r="M28" s="256"/>
    </row>
    <row r="29" spans="1:13" x14ac:dyDescent="0.25">
      <c r="A29" s="195" t="s">
        <v>186</v>
      </c>
      <c r="B29" s="183"/>
      <c r="C29" s="183"/>
      <c r="D29" s="184" t="s">
        <v>115</v>
      </c>
      <c r="E29" s="185" t="s">
        <v>74</v>
      </c>
      <c r="F29" s="186" t="s">
        <v>113</v>
      </c>
      <c r="H29" s="195" t="s">
        <v>186</v>
      </c>
      <c r="I29" s="183"/>
      <c r="J29" s="183"/>
      <c r="K29" s="184" t="s">
        <v>115</v>
      </c>
      <c r="L29" s="185" t="s">
        <v>74</v>
      </c>
      <c r="M29" s="186" t="s">
        <v>113</v>
      </c>
    </row>
    <row r="30" spans="1:13" x14ac:dyDescent="0.25">
      <c r="A30" s="187"/>
      <c r="B30" s="14"/>
      <c r="C30" s="14"/>
      <c r="D30" s="180"/>
      <c r="E30" s="14"/>
      <c r="F30" s="188"/>
      <c r="H30" s="187"/>
      <c r="I30" s="14"/>
      <c r="J30" s="14"/>
      <c r="K30" s="180"/>
      <c r="L30" s="14"/>
      <c r="M30" s="188"/>
    </row>
    <row r="31" spans="1:13" x14ac:dyDescent="0.25">
      <c r="A31" s="189" t="s">
        <v>168</v>
      </c>
      <c r="B31" s="176"/>
      <c r="C31" s="177"/>
      <c r="D31" s="51"/>
      <c r="E31" s="44">
        <v>0</v>
      </c>
      <c r="F31" s="190">
        <f>$D31*$E31</f>
        <v>0</v>
      </c>
      <c r="H31" s="189" t="s">
        <v>168</v>
      </c>
      <c r="I31" s="176"/>
      <c r="J31" s="177"/>
      <c r="K31" s="51">
        <f>[12]Rigidezza!$L$6</f>
        <v>16.59149395437851</v>
      </c>
      <c r="L31" s="44">
        <v>1</v>
      </c>
      <c r="M31" s="190">
        <f>$K31*$L31</f>
        <v>16.59149395437851</v>
      </c>
    </row>
    <row r="32" spans="1:13" x14ac:dyDescent="0.25">
      <c r="A32" s="189" t="s">
        <v>169</v>
      </c>
      <c r="B32" s="176"/>
      <c r="C32" s="177"/>
      <c r="D32" s="51">
        <f>[13]Rigidezza!$L$6</f>
        <v>10.132981687886938</v>
      </c>
      <c r="E32" s="44">
        <v>1</v>
      </c>
      <c r="F32" s="190">
        <f t="shared" ref="F32:F35" si="2">$D32*$E32</f>
        <v>10.132981687886938</v>
      </c>
      <c r="H32" s="189" t="s">
        <v>169</v>
      </c>
      <c r="I32" s="176"/>
      <c r="J32" s="177"/>
      <c r="K32" s="51">
        <f>[13]Rigidezza!$L$6</f>
        <v>10.132981687886938</v>
      </c>
      <c r="L32" s="44">
        <v>4</v>
      </c>
      <c r="M32" s="190">
        <f>$K32*$L32</f>
        <v>40.531926751547751</v>
      </c>
    </row>
    <row r="33" spans="1:13" x14ac:dyDescent="0.25">
      <c r="A33" s="189" t="s">
        <v>170</v>
      </c>
      <c r="B33" s="176"/>
      <c r="C33" s="177"/>
      <c r="D33" s="51">
        <f>[14]Rigidezza!$L$5</f>
        <v>33.42611910409844</v>
      </c>
      <c r="E33" s="44">
        <v>1</v>
      </c>
      <c r="F33" s="190">
        <f t="shared" si="2"/>
        <v>33.42611910409844</v>
      </c>
      <c r="H33" s="189" t="s">
        <v>170</v>
      </c>
      <c r="I33" s="176"/>
      <c r="J33" s="177"/>
      <c r="K33" s="51">
        <f>[14]Rigidezza!$L$5</f>
        <v>33.42611910409844</v>
      </c>
      <c r="L33" s="44">
        <v>0</v>
      </c>
      <c r="M33" s="190">
        <f>$K33*$L33</f>
        <v>0</v>
      </c>
    </row>
    <row r="34" spans="1:13" x14ac:dyDescent="0.25">
      <c r="A34" s="189" t="s">
        <v>171</v>
      </c>
      <c r="B34" s="176"/>
      <c r="C34" s="177"/>
      <c r="D34" s="51">
        <f>[15]Rigidezza!$L$5</f>
        <v>6.2847016004594005</v>
      </c>
      <c r="E34" s="44">
        <v>3</v>
      </c>
      <c r="F34" s="190">
        <f t="shared" si="2"/>
        <v>18.854104801378202</v>
      </c>
      <c r="H34" s="189" t="s">
        <v>171</v>
      </c>
      <c r="I34" s="176"/>
      <c r="J34" s="177"/>
      <c r="K34" s="51">
        <f>[15]Rigidezza!$L$5</f>
        <v>6.2847016004594005</v>
      </c>
      <c r="L34" s="44">
        <v>1</v>
      </c>
      <c r="M34" s="190">
        <f>$K34*$L34</f>
        <v>6.2847016004594005</v>
      </c>
    </row>
    <row r="35" spans="1:13" x14ac:dyDescent="0.25">
      <c r="A35" s="189" t="s">
        <v>172</v>
      </c>
      <c r="B35" s="176"/>
      <c r="C35" s="177"/>
      <c r="D35" s="51"/>
      <c r="E35" s="44">
        <v>0</v>
      </c>
      <c r="F35" s="190">
        <f t="shared" si="2"/>
        <v>0</v>
      </c>
      <c r="H35" s="189" t="s">
        <v>172</v>
      </c>
      <c r="I35" s="176"/>
      <c r="J35" s="177"/>
      <c r="K35" s="51"/>
      <c r="L35" s="44"/>
      <c r="M35" s="190">
        <f>$K35*$L35</f>
        <v>0</v>
      </c>
    </row>
    <row r="36" spans="1:13" x14ac:dyDescent="0.25">
      <c r="A36" s="191"/>
      <c r="B36" s="14"/>
      <c r="C36" s="14"/>
      <c r="D36" s="14"/>
      <c r="E36" s="14"/>
      <c r="F36" s="188"/>
      <c r="H36" s="191"/>
      <c r="I36" s="14"/>
      <c r="J36" s="14"/>
      <c r="K36" s="14"/>
      <c r="L36" s="14"/>
      <c r="M36" s="190"/>
    </row>
    <row r="37" spans="1:13" ht="15.75" thickBot="1" x14ac:dyDescent="0.3">
      <c r="A37" s="192" t="s">
        <v>114</v>
      </c>
      <c r="B37" s="193"/>
      <c r="C37" s="193"/>
      <c r="D37" s="193"/>
      <c r="E37" s="193"/>
      <c r="F37" s="194">
        <f>SUM(F31:F35)</f>
        <v>62.413205593363585</v>
      </c>
      <c r="H37" s="192" t="s">
        <v>121</v>
      </c>
      <c r="I37" s="193"/>
      <c r="J37" s="193"/>
      <c r="K37" s="193"/>
      <c r="L37" s="193"/>
      <c r="M37" s="194">
        <f>SUM(M31:M35)</f>
        <v>63.408122306385664</v>
      </c>
    </row>
    <row r="38" spans="1:13" ht="15.75" thickBot="1" x14ac:dyDescent="0.3"/>
    <row r="39" spans="1:13" x14ac:dyDescent="0.25">
      <c r="A39" s="195" t="s">
        <v>118</v>
      </c>
      <c r="B39" s="183"/>
      <c r="C39" s="183"/>
      <c r="D39" s="184" t="s">
        <v>115</v>
      </c>
      <c r="E39" s="185" t="s">
        <v>74</v>
      </c>
      <c r="F39" s="186" t="s">
        <v>113</v>
      </c>
      <c r="H39" s="195" t="s">
        <v>118</v>
      </c>
      <c r="I39" s="183"/>
      <c r="J39" s="183"/>
      <c r="K39" s="184" t="s">
        <v>115</v>
      </c>
      <c r="L39" s="185" t="s">
        <v>74</v>
      </c>
      <c r="M39" s="186" t="s">
        <v>113</v>
      </c>
    </row>
    <row r="40" spans="1:13" x14ac:dyDescent="0.25">
      <c r="A40" s="187"/>
      <c r="B40" s="14"/>
      <c r="C40" s="14"/>
      <c r="D40" s="180"/>
      <c r="E40" s="14"/>
      <c r="F40" s="188"/>
      <c r="H40" s="187"/>
      <c r="I40" s="14"/>
      <c r="J40" s="14"/>
      <c r="K40" s="180"/>
      <c r="L40" s="14"/>
      <c r="M40" s="188"/>
    </row>
    <row r="41" spans="1:13" x14ac:dyDescent="0.25">
      <c r="A41" s="189" t="s">
        <v>156</v>
      </c>
      <c r="B41" s="176"/>
      <c r="C41" s="177"/>
      <c r="D41" s="51">
        <f>[16]Rigidezza!$L$5</f>
        <v>48.867936389641606</v>
      </c>
      <c r="E41" s="44">
        <v>6</v>
      </c>
      <c r="F41" s="190">
        <f>$D41*$E41</f>
        <v>293.20761833784962</v>
      </c>
      <c r="H41" s="189" t="s">
        <v>156</v>
      </c>
      <c r="I41" s="176"/>
      <c r="J41" s="177"/>
      <c r="K41" s="51">
        <f>[16]Rigidezza!$L$5</f>
        <v>48.867936389641606</v>
      </c>
      <c r="L41" s="44">
        <v>2</v>
      </c>
      <c r="M41" s="190">
        <f>$K41*$L41</f>
        <v>97.735872779283213</v>
      </c>
    </row>
    <row r="42" spans="1:13" x14ac:dyDescent="0.25">
      <c r="A42" s="189" t="s">
        <v>157</v>
      </c>
      <c r="B42" s="176"/>
      <c r="C42" s="177"/>
      <c r="D42" s="51">
        <f>[17]Rigidezza!$L$5</f>
        <v>38.94891830769609</v>
      </c>
      <c r="E42" s="44">
        <v>4</v>
      </c>
      <c r="F42" s="190">
        <f t="shared" ref="F42:F45" si="3">$D42*$E42</f>
        <v>155.79567323078436</v>
      </c>
      <c r="H42" s="189" t="s">
        <v>157</v>
      </c>
      <c r="I42" s="176"/>
      <c r="J42" s="177"/>
      <c r="K42" s="51">
        <f>[17]Rigidezza!$L$5</f>
        <v>38.94891830769609</v>
      </c>
      <c r="L42" s="44">
        <v>9</v>
      </c>
      <c r="M42" s="190">
        <f>$K42*$L42</f>
        <v>350.54026476926481</v>
      </c>
    </row>
    <row r="43" spans="1:13" x14ac:dyDescent="0.25">
      <c r="A43" s="189" t="s">
        <v>158</v>
      </c>
      <c r="B43" s="176"/>
      <c r="C43" s="177"/>
      <c r="D43" s="51">
        <f>[18]Rigidezza!$L$5</f>
        <v>10.274221996802151</v>
      </c>
      <c r="E43" s="44">
        <v>1</v>
      </c>
      <c r="F43" s="190">
        <f t="shared" si="3"/>
        <v>10.274221996802151</v>
      </c>
      <c r="H43" s="189" t="s">
        <v>158</v>
      </c>
      <c r="I43" s="176"/>
      <c r="J43" s="177"/>
      <c r="K43" s="51">
        <f>[18]Rigidezza!$L$5</f>
        <v>10.274221996802151</v>
      </c>
      <c r="L43" s="44">
        <v>1</v>
      </c>
      <c r="M43" s="190">
        <f>$K43*$L43</f>
        <v>10.274221996802151</v>
      </c>
    </row>
    <row r="44" spans="1:13" x14ac:dyDescent="0.25">
      <c r="A44" s="189" t="s">
        <v>159</v>
      </c>
      <c r="B44" s="176"/>
      <c r="C44" s="177"/>
      <c r="D44" s="51">
        <f>[19]Rigidezza!$L$5</f>
        <v>9.3702033077977873</v>
      </c>
      <c r="E44" s="44">
        <v>10</v>
      </c>
      <c r="F44" s="190">
        <f t="shared" si="3"/>
        <v>93.702033077977873</v>
      </c>
      <c r="H44" s="189" t="s">
        <v>159</v>
      </c>
      <c r="I44" s="176"/>
      <c r="J44" s="177"/>
      <c r="K44" s="51">
        <f>[19]Rigidezza!$L$5</f>
        <v>9.3702033077977873</v>
      </c>
      <c r="L44" s="44">
        <v>7</v>
      </c>
      <c r="M44" s="190">
        <f>$K44*$L44</f>
        <v>65.591423154584504</v>
      </c>
    </row>
    <row r="45" spans="1:13" x14ac:dyDescent="0.25">
      <c r="A45" s="189" t="s">
        <v>160</v>
      </c>
      <c r="B45" s="176"/>
      <c r="C45" s="177"/>
      <c r="D45" s="51">
        <f>[20]Rigidezza!$L$5</f>
        <v>5.9706076846794938</v>
      </c>
      <c r="E45" s="44">
        <v>0</v>
      </c>
      <c r="F45" s="190">
        <f t="shared" si="3"/>
        <v>0</v>
      </c>
      <c r="H45" s="189" t="s">
        <v>160</v>
      </c>
      <c r="I45" s="176"/>
      <c r="J45" s="177"/>
      <c r="K45" s="51">
        <f>[20]Rigidezza!$L$5</f>
        <v>5.9706076846794938</v>
      </c>
      <c r="L45" s="44">
        <v>2</v>
      </c>
      <c r="M45" s="190">
        <f>$K45*$L45</f>
        <v>11.941215369358988</v>
      </c>
    </row>
    <row r="46" spans="1:13" x14ac:dyDescent="0.25">
      <c r="A46" s="191"/>
      <c r="B46" s="14"/>
      <c r="C46" s="14"/>
      <c r="D46" s="14"/>
      <c r="E46" s="14"/>
      <c r="F46" s="188"/>
      <c r="H46" s="191"/>
      <c r="I46" s="14"/>
      <c r="J46" s="14"/>
      <c r="K46" s="14"/>
      <c r="L46" s="14"/>
      <c r="M46" s="190"/>
    </row>
    <row r="47" spans="1:13" ht="15.75" thickBot="1" x14ac:dyDescent="0.3">
      <c r="A47" s="192" t="s">
        <v>114</v>
      </c>
      <c r="B47" s="193"/>
      <c r="C47" s="193"/>
      <c r="D47" s="193"/>
      <c r="E47" s="193"/>
      <c r="F47" s="194">
        <f>SUM(F41:F45)</f>
        <v>552.97954664341398</v>
      </c>
      <c r="H47" s="192" t="s">
        <v>121</v>
      </c>
      <c r="I47" s="193"/>
      <c r="J47" s="193"/>
      <c r="K47" s="193"/>
      <c r="L47" s="193"/>
      <c r="M47" s="194">
        <f>SUM(M41:M45)</f>
        <v>536.08299806929381</v>
      </c>
    </row>
    <row r="49" spans="1:13" ht="15.75" thickBot="1" x14ac:dyDescent="0.3"/>
    <row r="50" spans="1:13" x14ac:dyDescent="0.25">
      <c r="A50" s="195" t="s">
        <v>167</v>
      </c>
      <c r="B50" s="183"/>
      <c r="C50" s="183"/>
      <c r="D50" s="184" t="s">
        <v>115</v>
      </c>
      <c r="E50" s="185" t="s">
        <v>74</v>
      </c>
      <c r="F50" s="186" t="s">
        <v>113</v>
      </c>
      <c r="H50" s="195" t="s">
        <v>167</v>
      </c>
      <c r="I50" s="183"/>
      <c r="J50" s="183"/>
      <c r="K50" s="184" t="s">
        <v>115</v>
      </c>
      <c r="L50" s="185" t="s">
        <v>74</v>
      </c>
      <c r="M50" s="186" t="s">
        <v>113</v>
      </c>
    </row>
    <row r="51" spans="1:13" x14ac:dyDescent="0.25">
      <c r="A51" s="187"/>
      <c r="B51" s="14"/>
      <c r="C51" s="14"/>
      <c r="D51" s="180"/>
      <c r="E51" s="14"/>
      <c r="F51" s="188"/>
      <c r="H51" s="187"/>
      <c r="I51" s="14"/>
      <c r="J51" s="14"/>
      <c r="K51" s="180"/>
      <c r="L51" s="14"/>
      <c r="M51" s="188"/>
    </row>
    <row r="52" spans="1:13" x14ac:dyDescent="0.25">
      <c r="A52" s="189" t="s">
        <v>108</v>
      </c>
      <c r="B52" s="176"/>
      <c r="C52" s="177"/>
      <c r="D52" s="51">
        <f>[21]Rigidezza!$L$5</f>
        <v>33.02902794953232</v>
      </c>
      <c r="E52" s="44">
        <v>6</v>
      </c>
      <c r="F52" s="190">
        <f>$D52*$E52</f>
        <v>198.17416769719392</v>
      </c>
      <c r="H52" s="189" t="s">
        <v>108</v>
      </c>
      <c r="I52" s="176"/>
      <c r="J52" s="177"/>
      <c r="K52" s="51">
        <f>[21]Rigidezza!$L$5</f>
        <v>33.02902794953232</v>
      </c>
      <c r="L52" s="44">
        <v>2</v>
      </c>
      <c r="M52" s="190">
        <f>$K52*$L52</f>
        <v>66.058055899064641</v>
      </c>
    </row>
    <row r="53" spans="1:13" x14ac:dyDescent="0.25">
      <c r="A53" s="189" t="s">
        <v>109</v>
      </c>
      <c r="B53" s="176"/>
      <c r="C53" s="177"/>
      <c r="D53" s="51">
        <f>[22]Rigidezza!$L$5</f>
        <v>20.357442542018848</v>
      </c>
      <c r="E53" s="44">
        <v>4</v>
      </c>
      <c r="F53" s="190">
        <f t="shared" ref="F53:F56" si="4">$D53*$E53</f>
        <v>81.429770168075393</v>
      </c>
      <c r="H53" s="189" t="s">
        <v>109</v>
      </c>
      <c r="I53" s="176"/>
      <c r="J53" s="177"/>
      <c r="K53" s="51">
        <f>[22]Rigidezza!$L$5</f>
        <v>20.357442542018848</v>
      </c>
      <c r="L53" s="44">
        <v>9</v>
      </c>
      <c r="M53" s="190">
        <f>$K53*$L53</f>
        <v>183.21698287816963</v>
      </c>
    </row>
    <row r="54" spans="1:13" x14ac:dyDescent="0.25">
      <c r="A54" s="189" t="s">
        <v>110</v>
      </c>
      <c r="B54" s="176"/>
      <c r="C54" s="177"/>
      <c r="D54" s="51">
        <f>[23]Rigidezza!$L$5</f>
        <v>12.526983434807791</v>
      </c>
      <c r="E54" s="44">
        <v>1</v>
      </c>
      <c r="F54" s="190">
        <f t="shared" si="4"/>
        <v>12.526983434807791</v>
      </c>
      <c r="H54" s="189" t="s">
        <v>110</v>
      </c>
      <c r="I54" s="176"/>
      <c r="J54" s="177"/>
      <c r="K54" s="51">
        <f>[23]Rigidezza!$L$5</f>
        <v>12.526983434807791</v>
      </c>
      <c r="L54" s="44">
        <v>1</v>
      </c>
      <c r="M54" s="190">
        <f>$K54*$L54</f>
        <v>12.526983434807791</v>
      </c>
    </row>
    <row r="55" spans="1:13" x14ac:dyDescent="0.25">
      <c r="A55" s="189" t="s">
        <v>111</v>
      </c>
      <c r="B55" s="176"/>
      <c r="C55" s="177"/>
      <c r="D55" s="51">
        <f>[24]Rigidezza!$L$5</f>
        <v>10.087699986645456</v>
      </c>
      <c r="E55" s="44">
        <v>10</v>
      </c>
      <c r="F55" s="190">
        <f t="shared" si="4"/>
        <v>100.87699986645455</v>
      </c>
      <c r="H55" s="189" t="s">
        <v>111</v>
      </c>
      <c r="I55" s="176"/>
      <c r="J55" s="177"/>
      <c r="K55" s="51">
        <f>[24]Rigidezza!$L$5</f>
        <v>10.087699986645456</v>
      </c>
      <c r="L55" s="44">
        <v>7</v>
      </c>
      <c r="M55" s="190">
        <f>$K55*$L55</f>
        <v>70.613899906518185</v>
      </c>
    </row>
    <row r="56" spans="1:13" x14ac:dyDescent="0.25">
      <c r="A56" s="189" t="s">
        <v>112</v>
      </c>
      <c r="B56" s="176"/>
      <c r="C56" s="177"/>
      <c r="D56" s="51">
        <f>[25]Rigidezza!$L$5</f>
        <v>4.4188022540901484</v>
      </c>
      <c r="E56" s="44">
        <v>0</v>
      </c>
      <c r="F56" s="190">
        <f t="shared" si="4"/>
        <v>0</v>
      </c>
      <c r="H56" s="189" t="s">
        <v>112</v>
      </c>
      <c r="I56" s="176"/>
      <c r="J56" s="177"/>
      <c r="K56" s="51">
        <f>[25]Rigidezza!$L$5</f>
        <v>4.4188022540901484</v>
      </c>
      <c r="L56" s="44">
        <v>2</v>
      </c>
      <c r="M56" s="190">
        <f>$K56*$L56</f>
        <v>8.8376045081802967</v>
      </c>
    </row>
    <row r="57" spans="1:13" x14ac:dyDescent="0.25">
      <c r="A57" s="191"/>
      <c r="B57" s="14"/>
      <c r="C57" s="14"/>
      <c r="D57" s="14"/>
      <c r="E57" s="14"/>
      <c r="F57" s="188"/>
      <c r="H57" s="191"/>
      <c r="I57" s="14"/>
      <c r="J57" s="14"/>
      <c r="K57" s="14"/>
      <c r="L57" s="14"/>
      <c r="M57" s="190"/>
    </row>
    <row r="58" spans="1:13" ht="15.75" thickBot="1" x14ac:dyDescent="0.3">
      <c r="A58" s="192" t="s">
        <v>114</v>
      </c>
      <c r="B58" s="193"/>
      <c r="C58" s="193"/>
      <c r="D58" s="193"/>
      <c r="E58" s="193"/>
      <c r="F58" s="194">
        <f>SUM(F52:F56)</f>
        <v>393.00792116653167</v>
      </c>
      <c r="H58" s="192" t="s">
        <v>121</v>
      </c>
      <c r="I58" s="193"/>
      <c r="J58" s="193"/>
      <c r="K58" s="193"/>
      <c r="L58" s="193"/>
      <c r="M58" s="194">
        <f>SUM(M52:M56)</f>
        <v>341.25352662674055</v>
      </c>
    </row>
    <row r="61" spans="1:13" ht="15.75" thickBot="1" x14ac:dyDescent="0.3"/>
    <row r="62" spans="1:13" ht="15.75" thickBot="1" x14ac:dyDescent="0.3">
      <c r="A62" s="199" t="s">
        <v>119</v>
      </c>
      <c r="B62" s="199" t="s">
        <v>106</v>
      </c>
      <c r="C62" s="199" t="s">
        <v>120</v>
      </c>
    </row>
    <row r="63" spans="1:13" x14ac:dyDescent="0.25">
      <c r="A63" s="196" t="s">
        <v>22</v>
      </c>
      <c r="B63" s="202">
        <f>F26</f>
        <v>917.85515486236045</v>
      </c>
      <c r="C63" s="203">
        <f>M26</f>
        <v>677.83535546899316</v>
      </c>
    </row>
    <row r="64" spans="1:13" x14ac:dyDescent="0.25">
      <c r="A64" s="197">
        <v>4</v>
      </c>
      <c r="B64" s="173">
        <f>F58</f>
        <v>393.00792116653167</v>
      </c>
      <c r="C64" s="190">
        <f>M58</f>
        <v>341.25352662674055</v>
      </c>
    </row>
    <row r="65" spans="1:10" x14ac:dyDescent="0.25">
      <c r="A65" s="197">
        <v>3</v>
      </c>
      <c r="B65" s="173">
        <f t="shared" ref="B65:B66" si="5">$F$15</f>
        <v>507.44259325036569</v>
      </c>
      <c r="C65" s="190">
        <f t="shared" ref="C65:C66" si="6">$M$15</f>
        <v>435.80022285091593</v>
      </c>
    </row>
    <row r="66" spans="1:10" x14ac:dyDescent="0.25">
      <c r="A66" s="197">
        <v>2</v>
      </c>
      <c r="B66" s="173">
        <f t="shared" si="5"/>
        <v>507.44259325036569</v>
      </c>
      <c r="C66" s="190">
        <f t="shared" si="6"/>
        <v>435.80022285091593</v>
      </c>
    </row>
    <row r="67" spans="1:10" ht="15.75" thickBot="1" x14ac:dyDescent="0.3">
      <c r="A67" s="198">
        <v>1</v>
      </c>
      <c r="B67" s="204">
        <f>F47</f>
        <v>552.97954664341398</v>
      </c>
      <c r="C67" s="194">
        <f>M47</f>
        <v>536.08299806929381</v>
      </c>
    </row>
    <row r="69" spans="1:10" s="201" customFormat="1" x14ac:dyDescent="0.25">
      <c r="A69" s="201" t="s">
        <v>122</v>
      </c>
    </row>
    <row r="70" spans="1:10" s="30" customFormat="1" x14ac:dyDescent="0.25"/>
    <row r="71" spans="1:10" x14ac:dyDescent="0.25">
      <c r="A71" s="207" t="s">
        <v>105</v>
      </c>
    </row>
    <row r="72" spans="1:10" ht="60" x14ac:dyDescent="0.25">
      <c r="A72" s="206" t="s">
        <v>123</v>
      </c>
      <c r="B72" s="107" t="s">
        <v>124</v>
      </c>
      <c r="C72" s="107" t="s">
        <v>125</v>
      </c>
      <c r="D72" s="107" t="s">
        <v>130</v>
      </c>
      <c r="E72" s="302" t="s">
        <v>126</v>
      </c>
      <c r="F72" s="303"/>
      <c r="G72" s="302" t="s">
        <v>127</v>
      </c>
      <c r="H72" s="303"/>
      <c r="I72" s="107" t="s">
        <v>128</v>
      </c>
      <c r="J72" s="107" t="s">
        <v>129</v>
      </c>
    </row>
    <row r="73" spans="1:10" x14ac:dyDescent="0.25">
      <c r="A73" s="44" t="s">
        <v>22</v>
      </c>
      <c r="B73" s="51">
        <f>masse!$F5</f>
        <v>268.7614678899082</v>
      </c>
      <c r="C73" s="51">
        <f>masse!$E28</f>
        <v>496.87292081600617</v>
      </c>
      <c r="D73" s="51">
        <f>masse!$F28</f>
        <v>496.87292081600617</v>
      </c>
      <c r="E73" s="49"/>
      <c r="F73" s="205">
        <f>$D73/$B63</f>
        <v>0.54134131968841659</v>
      </c>
      <c r="G73" s="49"/>
      <c r="H73" s="205">
        <f>H74+F73</f>
        <v>11.081917310001955</v>
      </c>
      <c r="I73" s="173">
        <f>$C73*$H73</f>
        <v>5506.30462206213</v>
      </c>
      <c r="J73" s="173">
        <f>($B73*($H73)^2)/1000</f>
        <v>33.006297886507298</v>
      </c>
    </row>
    <row r="74" spans="1:10" x14ac:dyDescent="0.25">
      <c r="A74" s="44">
        <v>4</v>
      </c>
      <c r="B74" s="51">
        <f>masse!$F6</f>
        <v>290.15290519877669</v>
      </c>
      <c r="C74" s="51">
        <f>masse!$E29</f>
        <v>456.82249420279743</v>
      </c>
      <c r="D74" s="51">
        <f>masse!$F29</f>
        <v>953.6954150188036</v>
      </c>
      <c r="E74" s="49"/>
      <c r="F74" s="205">
        <f>$D74/$B64</f>
        <v>2.4266569798085276</v>
      </c>
      <c r="G74" s="49"/>
      <c r="H74" s="205">
        <f>H75+F74</f>
        <v>10.540575990313538</v>
      </c>
      <c r="I74" s="173">
        <f t="shared" ref="I74:I77" si="7">$C74*$H74</f>
        <v>4815.1722142291519</v>
      </c>
      <c r="J74" s="173">
        <f t="shared" ref="J74:J77" si="8">($B74*($H74)^2)/1000</f>
        <v>32.237073579983608</v>
      </c>
    </row>
    <row r="75" spans="1:10" x14ac:dyDescent="0.25">
      <c r="A75" s="44">
        <v>3</v>
      </c>
      <c r="B75" s="51">
        <f>masse!$F7</f>
        <v>290.15290519877669</v>
      </c>
      <c r="C75" s="51">
        <f>masse!$E30</f>
        <v>342.61687065209804</v>
      </c>
      <c r="D75" s="51">
        <f>masse!$F30</f>
        <v>1296.3122856709017</v>
      </c>
      <c r="E75" s="49"/>
      <c r="F75" s="205">
        <f>$D75/$B65</f>
        <v>2.5545988904232915</v>
      </c>
      <c r="G75" s="49"/>
      <c r="H75" s="205">
        <f>H76+F75</f>
        <v>8.1139190105050112</v>
      </c>
      <c r="I75" s="173">
        <f t="shared" si="7"/>
        <v>2779.9655401037949</v>
      </c>
      <c r="J75" s="173">
        <f t="shared" si="8"/>
        <v>19.102414313618361</v>
      </c>
    </row>
    <row r="76" spans="1:10" x14ac:dyDescent="0.25">
      <c r="A76" s="44">
        <v>2</v>
      </c>
      <c r="B76" s="51">
        <f>masse!$F8</f>
        <v>290.15290519877669</v>
      </c>
      <c r="C76" s="51">
        <f>masse!$E31</f>
        <v>228.41124710139871</v>
      </c>
      <c r="D76" s="51">
        <f>masse!$F31</f>
        <v>1524.7235327723004</v>
      </c>
      <c r="E76" s="49"/>
      <c r="F76" s="205">
        <f>$D76/$B66</f>
        <v>3.0047212296584282</v>
      </c>
      <c r="G76" s="49"/>
      <c r="H76" s="205">
        <f>$F76+$F75</f>
        <v>5.5593201200817202</v>
      </c>
      <c r="I76" s="173">
        <f t="shared" si="7"/>
        <v>1269.8112416637634</v>
      </c>
      <c r="J76" s="173">
        <f t="shared" si="8"/>
        <v>8.9674773515079806</v>
      </c>
    </row>
    <row r="77" spans="1:10" x14ac:dyDescent="0.25">
      <c r="A77" s="44">
        <v>1</v>
      </c>
      <c r="B77" s="51">
        <f>masse!$F9</f>
        <v>290.15290519877669</v>
      </c>
      <c r="C77" s="51">
        <f>masse!$E32</f>
        <v>114.20562355069936</v>
      </c>
      <c r="D77" s="51">
        <f>masse!$F32</f>
        <v>1638.9291563229997</v>
      </c>
      <c r="E77" s="49"/>
      <c r="F77" s="205">
        <f>$D77/$B67</f>
        <v>2.9638151470001017</v>
      </c>
      <c r="G77" s="49"/>
      <c r="H77" s="205">
        <f>F77</f>
        <v>2.9638151470001017</v>
      </c>
      <c r="I77" s="173">
        <f t="shared" si="7"/>
        <v>338.48435695215431</v>
      </c>
      <c r="J77" s="173">
        <f t="shared" si="8"/>
        <v>2.5487612153018859</v>
      </c>
    </row>
    <row r="79" spans="1:10" x14ac:dyDescent="0.25">
      <c r="A79" s="209" t="s">
        <v>131</v>
      </c>
      <c r="B79" s="175"/>
      <c r="C79" s="175"/>
      <c r="D79" s="175"/>
      <c r="E79" s="175"/>
      <c r="F79" s="175"/>
      <c r="G79" s="175"/>
      <c r="H79" s="175"/>
      <c r="I79" s="210">
        <f>SUM(I73:I77)</f>
        <v>14709.737975010994</v>
      </c>
      <c r="J79" s="211">
        <f>SUM(J73:J77)</f>
        <v>95.862024346919142</v>
      </c>
    </row>
    <row r="81" spans="1:10" x14ac:dyDescent="0.25">
      <c r="A81" s="201" t="s">
        <v>132</v>
      </c>
      <c r="B81" s="208">
        <f>((SQRT(J79/I79)))*2*PI()</f>
        <v>0.50722505504707527</v>
      </c>
    </row>
    <row r="84" spans="1:10" x14ac:dyDescent="0.25">
      <c r="A84" s="207" t="s">
        <v>117</v>
      </c>
    </row>
    <row r="85" spans="1:10" ht="60" x14ac:dyDescent="0.25">
      <c r="A85" s="206" t="s">
        <v>123</v>
      </c>
      <c r="B85" s="107" t="s">
        <v>124</v>
      </c>
      <c r="C85" s="107" t="s">
        <v>125</v>
      </c>
      <c r="D85" s="107" t="s">
        <v>130</v>
      </c>
      <c r="E85" s="302" t="s">
        <v>126</v>
      </c>
      <c r="F85" s="303"/>
      <c r="G85" s="302" t="s">
        <v>127</v>
      </c>
      <c r="H85" s="303"/>
      <c r="I85" s="107" t="s">
        <v>128</v>
      </c>
      <c r="J85" s="107" t="s">
        <v>129</v>
      </c>
    </row>
    <row r="86" spans="1:10" x14ac:dyDescent="0.25">
      <c r="A86" s="44" t="s">
        <v>22</v>
      </c>
      <c r="B86" s="51">
        <f>masse!$F5</f>
        <v>268.7614678899082</v>
      </c>
      <c r="C86" s="51">
        <f>masse!$E28</f>
        <v>496.87292081600617</v>
      </c>
      <c r="D86" s="51">
        <f>masse!$F28</f>
        <v>496.87292081600617</v>
      </c>
      <c r="E86" s="49"/>
      <c r="F86" s="205">
        <f>$D86/$C63</f>
        <v>0.73302892333230485</v>
      </c>
      <c r="G86" s="49"/>
      <c r="H86" s="205">
        <f>H87+F86</f>
        <v>13.058173829557838</v>
      </c>
      <c r="I86" s="173">
        <f>$C86*$H86</f>
        <v>6488.2529712155356</v>
      </c>
      <c r="J86" s="173">
        <f>($B86*$H86^2)/1000</f>
        <v>45.828104593904548</v>
      </c>
    </row>
    <row r="87" spans="1:10" x14ac:dyDescent="0.25">
      <c r="A87" s="44">
        <v>4</v>
      </c>
      <c r="B87" s="51">
        <f>masse!$F6</f>
        <v>290.15290519877669</v>
      </c>
      <c r="C87" s="51">
        <f>masse!$E29</f>
        <v>456.82249420279743</v>
      </c>
      <c r="D87" s="51">
        <f>masse!$F29</f>
        <v>953.6954150188036</v>
      </c>
      <c r="E87" s="49"/>
      <c r="F87" s="205">
        <f t="shared" ref="F87:F90" si="9">$D87/$C64</f>
        <v>2.7946829574070464</v>
      </c>
      <c r="G87" s="49"/>
      <c r="H87" s="205">
        <f>H88+F87</f>
        <v>12.325144906225534</v>
      </c>
      <c r="I87" s="173">
        <f t="shared" ref="I87:I90" si="10">$C87*$H87</f>
        <v>5630.4034374728517</v>
      </c>
      <c r="J87" s="173">
        <f t="shared" ref="J87:J90" si="11">($B87*$H87^2)/1000</f>
        <v>44.076894824199684</v>
      </c>
    </row>
    <row r="88" spans="1:10" x14ac:dyDescent="0.25">
      <c r="A88" s="44">
        <v>3</v>
      </c>
      <c r="B88" s="51">
        <f>masse!$F7</f>
        <v>290.15290519877669</v>
      </c>
      <c r="C88" s="51">
        <f>masse!$E30</f>
        <v>342.61687065209804</v>
      </c>
      <c r="D88" s="51">
        <f>masse!$F30</f>
        <v>1296.3122856709017</v>
      </c>
      <c r="E88" s="49"/>
      <c r="F88" s="205">
        <f t="shared" si="9"/>
        <v>2.9745562707395878</v>
      </c>
      <c r="G88" s="49"/>
      <c r="H88" s="205">
        <f>H89+F88</f>
        <v>9.5304619488184876</v>
      </c>
      <c r="I88" s="173">
        <f t="shared" si="10"/>
        <v>3265.2970487730859</v>
      </c>
      <c r="J88" s="173">
        <f t="shared" si="11"/>
        <v>26.354502771875765</v>
      </c>
    </row>
    <row r="89" spans="1:10" x14ac:dyDescent="0.25">
      <c r="A89" s="44">
        <v>2</v>
      </c>
      <c r="B89" s="51">
        <f>masse!$F8</f>
        <v>290.15290519877669</v>
      </c>
      <c r="C89" s="51">
        <f>masse!$E31</f>
        <v>228.41124710139871</v>
      </c>
      <c r="D89" s="51">
        <f>masse!$F31</f>
        <v>1524.7235327723004</v>
      </c>
      <c r="E89" s="49"/>
      <c r="F89" s="205">
        <f t="shared" si="9"/>
        <v>3.4986754315954012</v>
      </c>
      <c r="G89" s="49"/>
      <c r="H89" s="205">
        <f>F90+F89</f>
        <v>6.5559056780788989</v>
      </c>
      <c r="I89" s="173">
        <f t="shared" si="10"/>
        <v>1497.4425918091422</v>
      </c>
      <c r="J89" s="173">
        <f t="shared" si="11"/>
        <v>12.470742635401205</v>
      </c>
    </row>
    <row r="90" spans="1:10" x14ac:dyDescent="0.25">
      <c r="A90" s="44">
        <v>1</v>
      </c>
      <c r="B90" s="51">
        <f>masse!$F9</f>
        <v>290.15290519877669</v>
      </c>
      <c r="C90" s="51">
        <f>masse!$E32</f>
        <v>114.20562355069936</v>
      </c>
      <c r="D90" s="51">
        <f>masse!$F32</f>
        <v>1638.9291563229997</v>
      </c>
      <c r="E90" s="49"/>
      <c r="F90" s="205">
        <f t="shared" si="9"/>
        <v>3.0572302464834982</v>
      </c>
      <c r="G90" s="49"/>
      <c r="H90" s="205">
        <f>F90</f>
        <v>3.0572302464834982</v>
      </c>
      <c r="I90" s="173">
        <f t="shared" si="10"/>
        <v>349.15288663770622</v>
      </c>
      <c r="J90" s="173">
        <f t="shared" si="11"/>
        <v>2.7119596186167754</v>
      </c>
    </row>
    <row r="92" spans="1:10" x14ac:dyDescent="0.25">
      <c r="A92" s="209" t="s">
        <v>131</v>
      </c>
      <c r="B92" s="175"/>
      <c r="C92" s="175"/>
      <c r="D92" s="175"/>
      <c r="E92" s="175"/>
      <c r="F92" s="175"/>
      <c r="G92" s="175"/>
      <c r="H92" s="175"/>
      <c r="I92" s="210">
        <f>SUM(I86:I90)</f>
        <v>17230.548935908322</v>
      </c>
      <c r="J92" s="211">
        <f>SUM(J86:J90)</f>
        <v>131.44220444399798</v>
      </c>
    </row>
    <row r="94" spans="1:10" x14ac:dyDescent="0.25">
      <c r="A94" s="201" t="s">
        <v>132</v>
      </c>
      <c r="B94" s="208">
        <f>((SQRT(J92/I92)))*2*PI()</f>
        <v>0.548779309178134</v>
      </c>
    </row>
    <row r="96" spans="1:10" x14ac:dyDescent="0.25">
      <c r="A96" s="200" t="s">
        <v>133</v>
      </c>
      <c r="B96" s="200"/>
      <c r="C96" s="200"/>
      <c r="D96" s="200"/>
      <c r="E96" s="200"/>
    </row>
    <row r="97" spans="1:3" ht="45" x14ac:dyDescent="0.25">
      <c r="A97" s="227" t="s">
        <v>119</v>
      </c>
      <c r="B97" s="226" t="s">
        <v>175</v>
      </c>
      <c r="C97" s="226" t="s">
        <v>176</v>
      </c>
    </row>
    <row r="98" spans="1:3" x14ac:dyDescent="0.25">
      <c r="A98" s="93" t="s">
        <v>22</v>
      </c>
      <c r="B98" s="51">
        <f>(F26+F37)/(MAXA(D20:D34))</f>
        <v>11.761012809574657</v>
      </c>
      <c r="C98" s="51">
        <f>(M26+M37)/MAXA(K20:K34)</f>
        <v>8.893252489631541</v>
      </c>
    </row>
    <row r="99" spans="1:3" x14ac:dyDescent="0.25">
      <c r="A99" s="93">
        <v>4</v>
      </c>
      <c r="B99" s="51">
        <f>F58/MAXA(D52:D56)</f>
        <v>11.898864288923058</v>
      </c>
      <c r="C99" s="51">
        <f>M58/MAXA(K52:K56)</f>
        <v>10.331927634932793</v>
      </c>
    </row>
    <row r="100" spans="1:3" x14ac:dyDescent="0.25">
      <c r="A100" s="93">
        <v>3.2</v>
      </c>
      <c r="B100" s="51">
        <f>F15/MAXA(D9:D13)</f>
        <v>11.440879817004452</v>
      </c>
      <c r="C100" s="51">
        <f>M15/MAXA(K9:K13)</f>
        <v>9.8256197650343644</v>
      </c>
    </row>
    <row r="101" spans="1:3" x14ac:dyDescent="0.25">
      <c r="A101" s="93">
        <v>1</v>
      </c>
      <c r="B101" s="121">
        <f>F47/MAXA(D41:D45)</f>
        <v>11.315794926028991</v>
      </c>
      <c r="C101" s="51">
        <f>M47/MAXA(K41:K45)</f>
        <v>10.970035521756261</v>
      </c>
    </row>
  </sheetData>
  <mergeCells count="4">
    <mergeCell ref="E72:F72"/>
    <mergeCell ref="G72:H72"/>
    <mergeCell ref="E85:F85"/>
    <mergeCell ref="G85:H8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topLeftCell="A16" workbookViewId="0">
      <selection activeCell="M33" sqref="M33"/>
    </sheetView>
  </sheetViews>
  <sheetFormatPr defaultRowHeight="15" x14ac:dyDescent="0.25"/>
  <cols>
    <col min="2" max="2" width="9.140625" style="2"/>
    <col min="18" max="18" width="9.5703125" bestFit="1" customWidth="1"/>
    <col min="19" max="19" width="10.5703125" bestFit="1" customWidth="1"/>
    <col min="21" max="21" width="9.5703125" bestFit="1" customWidth="1"/>
  </cols>
  <sheetData>
    <row r="1" spans="1:21" s="30" customFormat="1" x14ac:dyDescent="0.25">
      <c r="A1" s="170" t="s">
        <v>105</v>
      </c>
      <c r="B1" s="215"/>
      <c r="C1" s="170"/>
    </row>
    <row r="3" spans="1:21" s="171" customFormat="1" x14ac:dyDescent="0.25">
      <c r="A3" s="171" t="s">
        <v>107</v>
      </c>
      <c r="B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</row>
    <row r="4" spans="1:21" x14ac:dyDescent="0.25">
      <c r="E4" s="2"/>
      <c r="F4" s="2"/>
      <c r="G4" s="2"/>
      <c r="H4" s="2"/>
      <c r="I4" s="2"/>
      <c r="J4" s="2"/>
      <c r="K4" s="2"/>
      <c r="L4" s="2"/>
      <c r="M4" s="2"/>
      <c r="N4" s="2"/>
    </row>
    <row r="5" spans="1:21" x14ac:dyDescent="0.25">
      <c r="C5" t="s">
        <v>136</v>
      </c>
      <c r="D5" s="2">
        <v>0.15</v>
      </c>
      <c r="E5" s="2"/>
      <c r="F5" s="2">
        <v>6.15</v>
      </c>
      <c r="G5" s="2"/>
      <c r="H5" s="3">
        <v>11.5</v>
      </c>
      <c r="I5" s="3"/>
      <c r="J5" s="3">
        <v>16.3</v>
      </c>
      <c r="K5" s="2"/>
      <c r="L5" s="2">
        <v>20.55</v>
      </c>
      <c r="M5" s="2"/>
      <c r="N5" s="2">
        <v>25.05</v>
      </c>
      <c r="P5" s="41" t="s">
        <v>138</v>
      </c>
      <c r="R5" t="s">
        <v>139</v>
      </c>
      <c r="S5" t="s">
        <v>140</v>
      </c>
      <c r="T5" t="s">
        <v>174</v>
      </c>
      <c r="U5" s="30"/>
    </row>
    <row r="6" spans="1:21" x14ac:dyDescent="0.25">
      <c r="B6" s="5" t="s">
        <v>137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P6" s="42"/>
      <c r="U6" s="30"/>
    </row>
    <row r="7" spans="1:21" x14ac:dyDescent="0.25">
      <c r="B7" s="3">
        <v>13.9</v>
      </c>
      <c r="D7" s="2"/>
      <c r="E7" s="2"/>
      <c r="F7" s="2"/>
      <c r="G7" s="2"/>
      <c r="H7" s="2"/>
      <c r="I7" s="2"/>
      <c r="J7" s="51">
        <f>'approccio per tipologia di P'!D10</f>
        <v>26.549948533385056</v>
      </c>
      <c r="K7" s="2"/>
      <c r="L7" s="51">
        <f>'approccio per tipologia di P'!D9</f>
        <v>44.353458944316451</v>
      </c>
      <c r="M7" s="2"/>
      <c r="N7" s="51">
        <f>'approccio per tipologia di P'!D12</f>
        <v>12.040234408191751</v>
      </c>
      <c r="P7" s="46">
        <f>SUM(J7,L7,N7)</f>
        <v>82.943641885893257</v>
      </c>
      <c r="R7" s="91">
        <f>$P7*$B7</f>
        <v>1152.9166222139163</v>
      </c>
      <c r="S7" s="91">
        <f>P7*B7^2</f>
        <v>16025.541048773437</v>
      </c>
      <c r="T7" s="91">
        <f>R17/P17</f>
        <v>5.9315174819962957</v>
      </c>
      <c r="U7" s="80"/>
    </row>
    <row r="8" spans="1:21" x14ac:dyDescent="0.25">
      <c r="D8" s="2"/>
      <c r="E8" s="2"/>
      <c r="F8" s="2"/>
      <c r="G8" s="2"/>
      <c r="H8" s="2"/>
      <c r="I8" s="2"/>
      <c r="J8" s="2"/>
      <c r="K8" s="2"/>
      <c r="L8" s="2"/>
      <c r="M8" s="2"/>
      <c r="N8" s="2"/>
      <c r="P8" s="42"/>
      <c r="R8" s="91"/>
      <c r="S8" s="91"/>
      <c r="T8" s="2"/>
    </row>
    <row r="9" spans="1:21" x14ac:dyDescent="0.25">
      <c r="D9" s="2"/>
      <c r="E9" s="2"/>
      <c r="F9" s="2"/>
      <c r="G9" s="2"/>
      <c r="H9" s="2"/>
      <c r="I9" s="2"/>
      <c r="J9" s="2"/>
      <c r="K9" s="2"/>
      <c r="L9" s="2"/>
      <c r="M9" s="2"/>
      <c r="N9" s="2"/>
      <c r="P9" s="42"/>
      <c r="R9" s="91"/>
      <c r="S9" s="91"/>
      <c r="T9" s="2"/>
    </row>
    <row r="10" spans="1:21" x14ac:dyDescent="0.25">
      <c r="B10" s="3">
        <v>8.4</v>
      </c>
      <c r="D10" s="51">
        <f>'approccio per tipologia di P'!D12</f>
        <v>12.040234408191751</v>
      </c>
      <c r="E10" s="2"/>
      <c r="F10" s="51">
        <f>'approccio per tipologia di P'!D9</f>
        <v>44.353458944316451</v>
      </c>
      <c r="G10" s="2"/>
      <c r="H10" s="51">
        <f>'approccio per tipologia di P'!D9</f>
        <v>44.353458944316451</v>
      </c>
      <c r="I10" s="2"/>
      <c r="J10" s="51">
        <f>'approccio per tipologia di P'!D9</f>
        <v>44.353458944316451</v>
      </c>
      <c r="K10" s="2"/>
      <c r="L10" s="51">
        <f>'approccio per tipologia di P'!D11</f>
        <v>14.719701369009202</v>
      </c>
      <c r="M10" s="2"/>
      <c r="N10" s="51">
        <f>'approccio per tipologia di P'!D12</f>
        <v>12.040234408191751</v>
      </c>
      <c r="P10" s="46">
        <f>SUM(D10:N10)</f>
        <v>171.86054701834206</v>
      </c>
      <c r="R10" s="91">
        <f t="shared" ref="R10:R16" si="0">$P10*$B10</f>
        <v>1443.6285949540734</v>
      </c>
      <c r="S10" s="91">
        <f>P10*B10^2</f>
        <v>12126.480197614215</v>
      </c>
      <c r="T10" s="2"/>
    </row>
    <row r="11" spans="1:21" x14ac:dyDescent="0.25">
      <c r="B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P11" s="42"/>
      <c r="R11" s="91"/>
      <c r="S11" s="91"/>
      <c r="T11" s="2"/>
    </row>
    <row r="12" spans="1:21" x14ac:dyDescent="0.25">
      <c r="B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P12" s="42"/>
      <c r="R12" s="91"/>
      <c r="S12" s="91"/>
      <c r="T12" s="2"/>
    </row>
    <row r="13" spans="1:21" x14ac:dyDescent="0.25">
      <c r="B13" s="3">
        <v>4</v>
      </c>
      <c r="D13" s="51">
        <f>'approccio per tipologia di P'!D12</f>
        <v>12.040234408191751</v>
      </c>
      <c r="E13" s="2"/>
      <c r="F13" s="51">
        <f>'approccio per tipologia di P'!D12</f>
        <v>12.040234408191751</v>
      </c>
      <c r="G13" s="2"/>
      <c r="H13" s="51">
        <f>'approccio per tipologia di P'!D12</f>
        <v>12.040234408191751</v>
      </c>
      <c r="I13" s="2"/>
      <c r="J13" s="51">
        <f>'approccio per tipologia di P'!D12</f>
        <v>12.040234408191751</v>
      </c>
      <c r="K13" s="2"/>
      <c r="L13" s="51">
        <f>'approccio per tipologia di P'!D10</f>
        <v>26.549948533385056</v>
      </c>
      <c r="M13" s="2"/>
      <c r="N13" s="51">
        <f>'approccio per tipologia di P'!D12</f>
        <v>12.040234408191751</v>
      </c>
      <c r="O13" s="2"/>
      <c r="P13" s="46">
        <f>SUM(D13:N13)</f>
        <v>86.751120574343801</v>
      </c>
      <c r="R13" s="91">
        <f t="shared" si="0"/>
        <v>347.0044822973752</v>
      </c>
      <c r="S13" s="91">
        <f>P13*B13^2</f>
        <v>1388.0179291895008</v>
      </c>
      <c r="T13" s="2"/>
    </row>
    <row r="14" spans="1:21" s="30" customFormat="1" x14ac:dyDescent="0.25">
      <c r="B14" s="80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42"/>
      <c r="R14" s="91"/>
      <c r="S14" s="224"/>
      <c r="T14" s="22"/>
    </row>
    <row r="15" spans="1:21" x14ac:dyDescent="0.25">
      <c r="B15" s="3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2"/>
      <c r="R15" s="91"/>
      <c r="S15" s="91"/>
      <c r="T15" s="2"/>
    </row>
    <row r="16" spans="1:21" x14ac:dyDescent="0.25">
      <c r="B16" s="3">
        <v>0.4</v>
      </c>
      <c r="D16" s="51">
        <f>'approccio per tipologia di P'!D12</f>
        <v>12.040234408191751</v>
      </c>
      <c r="E16" s="2"/>
      <c r="F16" s="51">
        <f>'approccio per tipologia di P'!D10</f>
        <v>26.549948533385056</v>
      </c>
      <c r="G16" s="2"/>
      <c r="H16" s="51">
        <f>'approccio per tipologia di P'!D10</f>
        <v>26.549948533385056</v>
      </c>
      <c r="I16" s="2"/>
      <c r="J16" s="51">
        <f>'approccio per tipologia di P'!D9</f>
        <v>44.353458944316451</v>
      </c>
      <c r="K16" s="2"/>
      <c r="L16" s="51">
        <f>'approccio per tipologia di P'!D9</f>
        <v>44.353458944316451</v>
      </c>
      <c r="M16" s="2"/>
      <c r="N16" s="51">
        <f>'approccio per tipologia di P'!D12</f>
        <v>12.040234408191751</v>
      </c>
      <c r="O16" s="2"/>
      <c r="P16" s="48">
        <f>SUM(D16:N16)</f>
        <v>165.88728377178654</v>
      </c>
      <c r="R16" s="91">
        <f t="shared" si="0"/>
        <v>66.354913508714617</v>
      </c>
      <c r="S16" s="91">
        <f>P16*B16^2</f>
        <v>26.54196540348585</v>
      </c>
      <c r="T16" s="2"/>
    </row>
    <row r="17" spans="1:21" x14ac:dyDescent="0.25">
      <c r="C17" t="s">
        <v>138</v>
      </c>
      <c r="D17" s="4">
        <f>SUM(D$10:D$16)</f>
        <v>36.120703224575252</v>
      </c>
      <c r="E17" s="4"/>
      <c r="F17" s="4">
        <f t="shared" ref="F17:N17" si="1">SUM(F$10:F$16)</f>
        <v>82.943641885893257</v>
      </c>
      <c r="G17" s="4"/>
      <c r="H17" s="4">
        <f t="shared" si="1"/>
        <v>82.943641885893257</v>
      </c>
      <c r="I17" s="4"/>
      <c r="J17" s="4">
        <f t="shared" si="1"/>
        <v>100.74715229682465</v>
      </c>
      <c r="K17" s="4"/>
      <c r="L17" s="4">
        <f t="shared" si="1"/>
        <v>85.623108846710707</v>
      </c>
      <c r="M17" s="4"/>
      <c r="N17" s="4">
        <f t="shared" si="1"/>
        <v>36.120703224575252</v>
      </c>
      <c r="O17" s="2"/>
      <c r="P17" s="4">
        <f>SUM(P7:P16)</f>
        <v>507.44259325036569</v>
      </c>
      <c r="R17" s="91">
        <f>SUM(R7:R16)</f>
        <v>3009.9046129740796</v>
      </c>
      <c r="S17" s="91">
        <f>SUM(S7:S16)</f>
        <v>29566.581140980637</v>
      </c>
      <c r="T17" s="2"/>
    </row>
    <row r="18" spans="1:21" s="171" customFormat="1" x14ac:dyDescent="0.25">
      <c r="A18" s="171" t="s">
        <v>116</v>
      </c>
      <c r="B18" s="212"/>
    </row>
    <row r="19" spans="1:21" s="30" customFormat="1" x14ac:dyDescent="0.25">
      <c r="B19" s="22"/>
    </row>
    <row r="21" spans="1:21" x14ac:dyDescent="0.25">
      <c r="C21" t="s">
        <v>136</v>
      </c>
      <c r="D21" s="2">
        <v>0.15</v>
      </c>
      <c r="E21" s="2"/>
      <c r="F21" s="2">
        <v>6.15</v>
      </c>
      <c r="G21" s="2"/>
      <c r="H21" s="3">
        <v>11.5</v>
      </c>
      <c r="I21" s="3"/>
      <c r="J21" s="3">
        <v>16.3</v>
      </c>
      <c r="K21" s="2"/>
      <c r="L21" s="2">
        <v>20.55</v>
      </c>
      <c r="M21" s="2"/>
      <c r="N21" s="2">
        <v>25.05</v>
      </c>
      <c r="P21" s="105" t="s">
        <v>138</v>
      </c>
      <c r="R21" s="105" t="s">
        <v>139</v>
      </c>
      <c r="S21" s="105" t="s">
        <v>140</v>
      </c>
      <c r="T21" t="s">
        <v>141</v>
      </c>
    </row>
    <row r="22" spans="1:21" x14ac:dyDescent="0.25">
      <c r="B22" s="2" t="s">
        <v>137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5"/>
      <c r="R22" s="45"/>
      <c r="S22" s="45"/>
    </row>
    <row r="23" spans="1:21" x14ac:dyDescent="0.25">
      <c r="B23" s="3">
        <v>13.9</v>
      </c>
      <c r="D23" s="2"/>
      <c r="E23" s="2"/>
      <c r="F23" s="2"/>
      <c r="G23" s="2"/>
      <c r="H23" s="2"/>
      <c r="I23" s="2"/>
      <c r="J23" s="51">
        <f>'approccio per tipologia di P'!D21</f>
        <v>47.639485616979769</v>
      </c>
      <c r="K23" s="2"/>
      <c r="L23" s="51">
        <f>'approccio per tipologia di P'!D20</f>
        <v>83.348974814285228</v>
      </c>
      <c r="M23" s="2"/>
      <c r="N23" s="51">
        <f>'approccio per tipologia di P'!D23</f>
        <v>34.161908561200633</v>
      </c>
      <c r="O23" s="2"/>
      <c r="P23" s="46">
        <f>SUM(J23,L23,N23)</f>
        <v>165.15036899246564</v>
      </c>
      <c r="R23" s="129">
        <f>$P23*$B23</f>
        <v>2295.5901289952726</v>
      </c>
      <c r="S23" s="129">
        <f>$P23*$B23^2</f>
        <v>31908.702793034288</v>
      </c>
      <c r="T23" s="3">
        <f>R33/P33</f>
        <v>5.9028034539923011</v>
      </c>
      <c r="U23" s="4"/>
    </row>
    <row r="24" spans="1:21" x14ac:dyDescent="0.25"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2"/>
      <c r="R24" s="42"/>
      <c r="S24" s="42"/>
    </row>
    <row r="25" spans="1:21" x14ac:dyDescent="0.25"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2"/>
      <c r="R25" s="42"/>
      <c r="S25" s="42"/>
    </row>
    <row r="26" spans="1:21" x14ac:dyDescent="0.25">
      <c r="B26" s="3">
        <v>8.4</v>
      </c>
      <c r="D26" s="51">
        <f>N23</f>
        <v>34.161908561200633</v>
      </c>
      <c r="E26" s="2"/>
      <c r="F26" s="51">
        <f>H32</f>
        <v>83.348974814285228</v>
      </c>
      <c r="G26" s="2"/>
      <c r="H26" s="51">
        <f>H32</f>
        <v>83.348974814285228</v>
      </c>
      <c r="I26" s="2"/>
      <c r="J26" s="51">
        <f>H32</f>
        <v>83.348974814285228</v>
      </c>
      <c r="K26" s="2"/>
      <c r="L26" s="51">
        <f>'approccio per tipologia di P'!D33</f>
        <v>33.42611910409844</v>
      </c>
      <c r="M26" s="2"/>
      <c r="N26" s="51">
        <f>'approccio per tipologia di P'!D23</f>
        <v>34.161908561200633</v>
      </c>
      <c r="O26" s="2"/>
      <c r="P26" s="46">
        <f>SUM(D26:N26)</f>
        <v>351.7968606693554</v>
      </c>
      <c r="R26" s="129">
        <f t="shared" ref="R26:R32" si="2">$P26*$B26</f>
        <v>2955.0936296225855</v>
      </c>
      <c r="S26" s="129">
        <f t="shared" ref="S26:S32" si="3">$P26*$B26^2</f>
        <v>24822.786488829719</v>
      </c>
    </row>
    <row r="27" spans="1:21" x14ac:dyDescent="0.25">
      <c r="B27" s="3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2"/>
      <c r="R27" s="129"/>
      <c r="S27" s="129"/>
    </row>
    <row r="28" spans="1:21" x14ac:dyDescent="0.25">
      <c r="B28" s="3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2"/>
      <c r="R28" s="129"/>
      <c r="S28" s="129"/>
    </row>
    <row r="29" spans="1:21" x14ac:dyDescent="0.25">
      <c r="B29" s="3">
        <v>4</v>
      </c>
      <c r="D29" s="51">
        <f>N23</f>
        <v>34.161908561200633</v>
      </c>
      <c r="E29" s="2"/>
      <c r="F29" s="51">
        <f>'approccio per tipologia di P'!D34</f>
        <v>6.2847016004594005</v>
      </c>
      <c r="G29" s="2"/>
      <c r="H29" s="51">
        <f>F29</f>
        <v>6.2847016004594005</v>
      </c>
      <c r="I29" s="2"/>
      <c r="J29" s="51">
        <f>F29</f>
        <v>6.2847016004594005</v>
      </c>
      <c r="K29" s="2"/>
      <c r="L29" s="51">
        <f>'approccio per tipologia di P'!D32</f>
        <v>10.132981687886938</v>
      </c>
      <c r="M29" s="2"/>
      <c r="N29" s="51">
        <f>N26</f>
        <v>34.161908561200633</v>
      </c>
      <c r="O29" s="2"/>
      <c r="P29" s="46">
        <f>SUM(D29:N29)</f>
        <v>97.310903611666404</v>
      </c>
      <c r="R29" s="129">
        <f t="shared" si="2"/>
        <v>389.24361444666562</v>
      </c>
      <c r="S29" s="129">
        <f t="shared" si="3"/>
        <v>1556.9744577866625</v>
      </c>
    </row>
    <row r="30" spans="1:21" x14ac:dyDescent="0.25">
      <c r="B30" s="80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2"/>
      <c r="R30" s="129"/>
      <c r="S30" s="129"/>
    </row>
    <row r="31" spans="1:21" x14ac:dyDescent="0.25">
      <c r="B31" s="3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2"/>
      <c r="R31" s="129"/>
      <c r="S31" s="129"/>
    </row>
    <row r="32" spans="1:21" x14ac:dyDescent="0.25">
      <c r="B32" s="3">
        <v>0.4</v>
      </c>
      <c r="D32" s="51">
        <f>N32</f>
        <v>34.161908561200633</v>
      </c>
      <c r="E32" s="2"/>
      <c r="F32" s="51">
        <f>'approccio per tipologia di P'!D21</f>
        <v>47.639485616979769</v>
      </c>
      <c r="G32" s="2"/>
      <c r="H32" s="51">
        <f>'approccio per tipologia di P'!D20</f>
        <v>83.348974814285228</v>
      </c>
      <c r="I32" s="2"/>
      <c r="J32" s="51">
        <f>H32</f>
        <v>83.348974814285228</v>
      </c>
      <c r="K32" s="2"/>
      <c r="L32" s="51">
        <f>H32</f>
        <v>83.348974814285228</v>
      </c>
      <c r="M32" s="2"/>
      <c r="N32" s="51">
        <f>N26</f>
        <v>34.161908561200633</v>
      </c>
      <c r="O32" s="2"/>
      <c r="P32" s="48">
        <f>SUM(D32:N32)</f>
        <v>366.01022718223669</v>
      </c>
      <c r="R32" s="222">
        <f t="shared" si="2"/>
        <v>146.40409087289467</v>
      </c>
      <c r="S32" s="222">
        <f t="shared" si="3"/>
        <v>58.56163634915788</v>
      </c>
    </row>
    <row r="33" spans="1:20" s="30" customFormat="1" x14ac:dyDescent="0.25">
      <c r="B33" s="22"/>
      <c r="C33" s="30" t="s">
        <v>138</v>
      </c>
      <c r="D33" s="80">
        <f>SUM(D$26:D$32)</f>
        <v>102.4857256836019</v>
      </c>
      <c r="E33" s="80"/>
      <c r="F33" s="80">
        <f t="shared" ref="F33:N33" si="4">SUM(F$26:F$32)</f>
        <v>137.27316203172438</v>
      </c>
      <c r="G33" s="80"/>
      <c r="H33" s="80">
        <f t="shared" si="4"/>
        <v>172.98265122902984</v>
      </c>
      <c r="I33" s="80"/>
      <c r="J33" s="80">
        <f t="shared" si="4"/>
        <v>172.98265122902984</v>
      </c>
      <c r="K33" s="80"/>
      <c r="L33" s="80">
        <f t="shared" si="4"/>
        <v>126.90807560627061</v>
      </c>
      <c r="M33" s="80"/>
      <c r="N33" s="80">
        <f t="shared" si="4"/>
        <v>102.4857256836019</v>
      </c>
      <c r="O33" s="22"/>
      <c r="P33" s="216">
        <f>SUM(P$23:P$32)</f>
        <v>980.26836045572406</v>
      </c>
      <c r="Q33" s="216"/>
      <c r="R33" s="216">
        <f t="shared" ref="R33:S33" si="5">SUM(R$23:R$32)</f>
        <v>5786.3314639374184</v>
      </c>
      <c r="S33" s="216">
        <f t="shared" si="5"/>
        <v>58347.02537599983</v>
      </c>
    </row>
    <row r="34" spans="1:20" s="171" customFormat="1" x14ac:dyDescent="0.25">
      <c r="A34" s="171" t="s">
        <v>134</v>
      </c>
      <c r="B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</row>
    <row r="35" spans="1:20" x14ac:dyDescent="0.25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20" x14ac:dyDescent="0.25">
      <c r="C36" t="s">
        <v>136</v>
      </c>
      <c r="D36" s="2">
        <v>0.15</v>
      </c>
      <c r="E36" s="2"/>
      <c r="F36" s="2">
        <v>6.15</v>
      </c>
      <c r="G36" s="2"/>
      <c r="H36" s="3">
        <v>11.5</v>
      </c>
      <c r="I36" s="3"/>
      <c r="J36" s="3">
        <v>16.3</v>
      </c>
      <c r="K36" s="2"/>
      <c r="L36" s="2">
        <v>20.55</v>
      </c>
      <c r="M36" s="2"/>
      <c r="N36" s="2">
        <v>25.05</v>
      </c>
      <c r="O36" s="2"/>
      <c r="P36" s="105" t="s">
        <v>138</v>
      </c>
      <c r="R36" t="s">
        <v>139</v>
      </c>
      <c r="S36" t="s">
        <v>140</v>
      </c>
      <c r="T36" t="s">
        <v>141</v>
      </c>
    </row>
    <row r="37" spans="1:20" x14ac:dyDescent="0.25">
      <c r="B37" s="2" t="s">
        <v>137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5"/>
    </row>
    <row r="38" spans="1:20" x14ac:dyDescent="0.25">
      <c r="B38" s="3">
        <v>13.9</v>
      </c>
      <c r="D38" s="2"/>
      <c r="E38" s="2"/>
      <c r="F38" s="2"/>
      <c r="G38" s="2"/>
      <c r="H38" s="2"/>
      <c r="I38" s="2"/>
      <c r="J38" s="51">
        <f>'approccio per tipologia di P'!D42</f>
        <v>38.94891830769609</v>
      </c>
      <c r="K38" s="2"/>
      <c r="L38" s="51">
        <f>'approccio per tipologia di P'!D41</f>
        <v>48.867936389641606</v>
      </c>
      <c r="M38" s="2"/>
      <c r="N38" s="51">
        <f>'approccio per tipologia di P'!D44</f>
        <v>9.3702033077977873</v>
      </c>
      <c r="O38" s="2"/>
      <c r="P38" s="213">
        <f>SUM(J38,L38,N38)</f>
        <v>97.187058005135498</v>
      </c>
      <c r="R38" s="91">
        <f>$P38*$B38</f>
        <v>1350.9001062713835</v>
      </c>
      <c r="S38" s="91">
        <f>$P38*$B38^2</f>
        <v>18777.511477172229</v>
      </c>
      <c r="T38" s="91">
        <f>R49/P49</f>
        <v>5.8719068166895152</v>
      </c>
    </row>
    <row r="39" spans="1:20" x14ac:dyDescent="0.25"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5"/>
      <c r="R39" s="91"/>
      <c r="S39" s="91"/>
      <c r="T39" s="91"/>
    </row>
    <row r="40" spans="1:20" x14ac:dyDescent="0.25"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5"/>
      <c r="R40" s="91"/>
      <c r="S40" s="91"/>
      <c r="T40" s="91"/>
    </row>
    <row r="41" spans="1:20" x14ac:dyDescent="0.25">
      <c r="B41" s="3">
        <v>8.4</v>
      </c>
      <c r="D41" s="51">
        <f>'approccio per tipologia di P'!D44</f>
        <v>9.3702033077977873</v>
      </c>
      <c r="E41" s="2"/>
      <c r="F41" s="51">
        <f>'approccio per tipologia di P'!D41</f>
        <v>48.867936389641606</v>
      </c>
      <c r="G41" s="2"/>
      <c r="H41" s="51">
        <f>'approccio per tipologia di P'!D41</f>
        <v>48.867936389641606</v>
      </c>
      <c r="I41" s="2"/>
      <c r="J41" s="51">
        <f>'approccio per tipologia di P'!D41</f>
        <v>48.867936389641606</v>
      </c>
      <c r="K41" s="2"/>
      <c r="L41" s="51">
        <f>'approccio per tipologia di P'!D43</f>
        <v>10.274221996802151</v>
      </c>
      <c r="M41" s="2"/>
      <c r="N41" s="51">
        <f>'approccio per tipologia di P'!D44</f>
        <v>9.3702033077977873</v>
      </c>
      <c r="O41" s="2"/>
      <c r="P41" s="213">
        <f>SUM(D41:N41)</f>
        <v>175.61843778132254</v>
      </c>
      <c r="R41" s="91">
        <f t="shared" ref="R41:R47" si="6">$P41*$B41</f>
        <v>1475.1948773631093</v>
      </c>
      <c r="S41" s="91">
        <f t="shared" ref="S41:S47" si="7">$P41*$B41^2</f>
        <v>12391.636969850118</v>
      </c>
      <c r="T41" s="91"/>
    </row>
    <row r="42" spans="1:20" x14ac:dyDescent="0.25">
      <c r="B42" s="3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5"/>
      <c r="R42" s="91"/>
      <c r="S42" s="91"/>
      <c r="T42" s="91"/>
    </row>
    <row r="43" spans="1:20" x14ac:dyDescent="0.25">
      <c r="B43" s="3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45"/>
      <c r="R43" s="91"/>
      <c r="S43" s="91"/>
      <c r="T43" s="91"/>
    </row>
    <row r="44" spans="1:20" x14ac:dyDescent="0.25">
      <c r="B44" s="3">
        <v>4</v>
      </c>
      <c r="D44" s="51">
        <f>'approccio per tipologia di P'!D44</f>
        <v>9.3702033077977873</v>
      </c>
      <c r="E44" s="2"/>
      <c r="F44" s="51">
        <f>'approccio per tipologia di P'!D44</f>
        <v>9.3702033077977873</v>
      </c>
      <c r="G44" s="2"/>
      <c r="H44" s="51">
        <f>'approccio per tipologia di P'!D44</f>
        <v>9.3702033077977873</v>
      </c>
      <c r="I44" s="2"/>
      <c r="J44" s="51">
        <f>'approccio per tipologia di P'!D44</f>
        <v>9.3702033077977873</v>
      </c>
      <c r="K44" s="2"/>
      <c r="L44" s="51">
        <f>'approccio per tipologia di P'!D42</f>
        <v>38.94891830769609</v>
      </c>
      <c r="M44" s="2"/>
      <c r="N44" s="51">
        <f>'approccio per tipologia di P'!D44</f>
        <v>9.3702033077977873</v>
      </c>
      <c r="O44" s="2"/>
      <c r="P44" s="213">
        <f>SUM(D44:N44)</f>
        <v>85.799934846685034</v>
      </c>
      <c r="R44" s="91">
        <f t="shared" si="6"/>
        <v>343.19973938674013</v>
      </c>
      <c r="S44" s="91">
        <f t="shared" si="7"/>
        <v>1372.7989575469605</v>
      </c>
      <c r="T44" s="91"/>
    </row>
    <row r="45" spans="1:20" x14ac:dyDescent="0.25">
      <c r="B45" s="80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45"/>
      <c r="R45" s="91"/>
      <c r="S45" s="91"/>
      <c r="T45" s="91"/>
    </row>
    <row r="46" spans="1:20" x14ac:dyDescent="0.25">
      <c r="B46" s="3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45"/>
      <c r="R46" s="91"/>
      <c r="S46" s="91"/>
      <c r="T46" s="91"/>
    </row>
    <row r="47" spans="1:20" x14ac:dyDescent="0.25">
      <c r="B47" s="3">
        <v>0.4</v>
      </c>
      <c r="D47" s="51">
        <f>'approccio per tipologia di P'!D44</f>
        <v>9.3702033077977873</v>
      </c>
      <c r="E47" s="2"/>
      <c r="F47" s="51">
        <f>'approccio per tipologia di P'!D42</f>
        <v>38.94891830769609</v>
      </c>
      <c r="G47" s="2"/>
      <c r="H47" s="51">
        <f>'approccio per tipologia di P'!D42</f>
        <v>38.94891830769609</v>
      </c>
      <c r="I47" s="2"/>
      <c r="J47" s="51">
        <f>'approccio per tipologia di P'!D41</f>
        <v>48.867936389641606</v>
      </c>
      <c r="K47" s="2"/>
      <c r="L47" s="51">
        <f>'approccio per tipologia di P'!D41</f>
        <v>48.867936389641606</v>
      </c>
      <c r="M47" s="2"/>
      <c r="N47" s="51">
        <f>'approccio per tipologia di P'!D44</f>
        <v>9.3702033077977873</v>
      </c>
      <c r="O47" s="2"/>
      <c r="P47" s="214">
        <f>SUM(D47:N47)</f>
        <v>194.374116010271</v>
      </c>
      <c r="R47" s="91">
        <f t="shared" si="6"/>
        <v>77.749646404108404</v>
      </c>
      <c r="S47" s="91">
        <f t="shared" si="7"/>
        <v>31.099858561643366</v>
      </c>
      <c r="T47" s="91"/>
    </row>
    <row r="48" spans="1:20" x14ac:dyDescent="0.25"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R48" s="91"/>
      <c r="S48" s="91"/>
      <c r="T48" s="91"/>
    </row>
    <row r="49" spans="1:20" x14ac:dyDescent="0.25">
      <c r="C49" t="s">
        <v>138</v>
      </c>
      <c r="D49" s="3">
        <f>SUM(D$41:D$47)</f>
        <v>28.110609923393362</v>
      </c>
      <c r="E49" s="3"/>
      <c r="F49" s="3">
        <f t="shared" ref="F49:N49" si="8">SUM(F$41:F$47)</f>
        <v>97.187058005135484</v>
      </c>
      <c r="G49" s="3"/>
      <c r="H49" s="3">
        <f t="shared" si="8"/>
        <v>97.187058005135484</v>
      </c>
      <c r="I49" s="3"/>
      <c r="J49" s="3">
        <f t="shared" si="8"/>
        <v>107.10607608708099</v>
      </c>
      <c r="K49" s="3"/>
      <c r="L49" s="3">
        <f t="shared" si="8"/>
        <v>98.091076694139844</v>
      </c>
      <c r="M49" s="3"/>
      <c r="N49" s="3">
        <f t="shared" si="8"/>
        <v>28.110609923393362</v>
      </c>
      <c r="O49" s="2"/>
      <c r="P49" s="4">
        <f>SUM(P38:P47)</f>
        <v>552.9795466434141</v>
      </c>
      <c r="R49" s="91">
        <f>SUM(R38:R47)</f>
        <v>3247.0443694253408</v>
      </c>
      <c r="S49" s="91">
        <f>SUM(S38:S47)</f>
        <v>32573.047263130953</v>
      </c>
      <c r="T49" s="91"/>
    </row>
    <row r="50" spans="1:20" x14ac:dyDescent="0.25">
      <c r="A50" s="171" t="s">
        <v>173</v>
      </c>
      <c r="B50" s="212"/>
      <c r="C50" s="171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171"/>
      <c r="Q50" s="171"/>
      <c r="R50" s="223"/>
      <c r="S50" s="223"/>
      <c r="T50" s="91"/>
    </row>
    <row r="51" spans="1:20" x14ac:dyDescent="0.25"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R51" s="91"/>
      <c r="S51" s="91"/>
      <c r="T51" s="91"/>
    </row>
    <row r="52" spans="1:20" x14ac:dyDescent="0.25">
      <c r="C52" t="s">
        <v>136</v>
      </c>
      <c r="D52" s="2">
        <v>0.15</v>
      </c>
      <c r="E52" s="2"/>
      <c r="F52" s="2">
        <v>6.15</v>
      </c>
      <c r="G52" s="2"/>
      <c r="H52" s="3">
        <v>11.5</v>
      </c>
      <c r="I52" s="3"/>
      <c r="J52" s="3">
        <v>16.3</v>
      </c>
      <c r="K52" s="2"/>
      <c r="L52" s="2">
        <v>20.55</v>
      </c>
      <c r="M52" s="2"/>
      <c r="N52" s="2">
        <v>25.05</v>
      </c>
      <c r="O52" s="2"/>
      <c r="P52" s="105" t="s">
        <v>138</v>
      </c>
      <c r="R52" s="91" t="s">
        <v>139</v>
      </c>
      <c r="S52" s="91" t="s">
        <v>140</v>
      </c>
      <c r="T52" s="91" t="s">
        <v>141</v>
      </c>
    </row>
    <row r="53" spans="1:20" x14ac:dyDescent="0.25">
      <c r="B53" s="2" t="s">
        <v>137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45"/>
      <c r="R53" s="91"/>
      <c r="S53" s="91"/>
      <c r="T53" s="91"/>
    </row>
    <row r="54" spans="1:20" x14ac:dyDescent="0.25">
      <c r="B54" s="3">
        <v>13.9</v>
      </c>
      <c r="D54" s="2"/>
      <c r="E54" s="2"/>
      <c r="F54" s="2"/>
      <c r="G54" s="2"/>
      <c r="H54" s="2"/>
      <c r="I54" s="2"/>
      <c r="J54" s="51">
        <f>'approccio per tipologia di P'!D53</f>
        <v>20.357442542018848</v>
      </c>
      <c r="K54" s="2"/>
      <c r="L54" s="51">
        <f>'approccio per tipologia di P'!D52</f>
        <v>33.02902794953232</v>
      </c>
      <c r="M54" s="2"/>
      <c r="N54" s="51">
        <f>'approccio per tipologia di P'!D55</f>
        <v>10.087699986645456</v>
      </c>
      <c r="O54" s="2"/>
      <c r="P54" s="213">
        <f>SUM(J54,L54,N54)</f>
        <v>63.474170478196619</v>
      </c>
      <c r="R54" s="91">
        <f>$P54*$B54</f>
        <v>882.29096964693304</v>
      </c>
      <c r="S54" s="91">
        <f>$P54*$B54^2</f>
        <v>12263.844478092369</v>
      </c>
      <c r="T54" s="91">
        <f>R65/P65</f>
        <v>5.9115490445859429</v>
      </c>
    </row>
    <row r="55" spans="1:20" x14ac:dyDescent="0.25"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45"/>
      <c r="R55" s="91"/>
      <c r="S55" s="91"/>
      <c r="T55" s="91"/>
    </row>
    <row r="56" spans="1:20" x14ac:dyDescent="0.25"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45"/>
      <c r="R56" s="91"/>
      <c r="S56" s="91"/>
      <c r="T56" s="91"/>
    </row>
    <row r="57" spans="1:20" x14ac:dyDescent="0.25">
      <c r="B57" s="3">
        <v>8.4</v>
      </c>
      <c r="D57" s="51">
        <f>'approccio per tipologia di P'!D55</f>
        <v>10.087699986645456</v>
      </c>
      <c r="E57" s="2"/>
      <c r="F57" s="51">
        <f>'approccio per tipologia di P'!D52</f>
        <v>33.02902794953232</v>
      </c>
      <c r="G57" s="2"/>
      <c r="H57" s="51">
        <f>'approccio per tipologia di P'!D52</f>
        <v>33.02902794953232</v>
      </c>
      <c r="I57" s="2"/>
      <c r="J57" s="51">
        <f>'approccio per tipologia di P'!D52</f>
        <v>33.02902794953232</v>
      </c>
      <c r="K57" s="2"/>
      <c r="L57" s="51">
        <f>'approccio per tipologia di P'!D54</f>
        <v>12.526983434807791</v>
      </c>
      <c r="M57" s="2"/>
      <c r="N57" s="51">
        <f>'approccio per tipologia di P'!D55</f>
        <v>10.087699986645456</v>
      </c>
      <c r="O57" s="2"/>
      <c r="P57" s="213">
        <f>SUM(D57:N57)</f>
        <v>131.78946725669564</v>
      </c>
      <c r="R57" s="91">
        <f t="shared" ref="R57:R63" si="9">$P57*$B57</f>
        <v>1107.0315249562434</v>
      </c>
      <c r="S57" s="91">
        <f t="shared" ref="S57:S63" si="10">$P57*$B57^2</f>
        <v>9299.0648096324458</v>
      </c>
      <c r="T57" s="91"/>
    </row>
    <row r="58" spans="1:20" x14ac:dyDescent="0.25">
      <c r="B58" s="3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45"/>
      <c r="R58" s="91"/>
      <c r="S58" s="91"/>
      <c r="T58" s="91"/>
    </row>
    <row r="59" spans="1:20" x14ac:dyDescent="0.25">
      <c r="B59" s="3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45"/>
      <c r="R59" s="91"/>
      <c r="S59" s="91"/>
      <c r="T59" s="91"/>
    </row>
    <row r="60" spans="1:20" x14ac:dyDescent="0.25">
      <c r="B60" s="3">
        <v>4</v>
      </c>
      <c r="D60" s="51">
        <f>'approccio per tipologia di P'!D55</f>
        <v>10.087699986645456</v>
      </c>
      <c r="E60" s="2"/>
      <c r="F60" s="51">
        <f>'approccio per tipologia di P'!D55</f>
        <v>10.087699986645456</v>
      </c>
      <c r="G60" s="2"/>
      <c r="H60" s="51">
        <f>'approccio per tipologia di P'!D55</f>
        <v>10.087699986645456</v>
      </c>
      <c r="I60" s="2"/>
      <c r="J60" s="51">
        <f>'approccio per tipologia di P'!D55</f>
        <v>10.087699986645456</v>
      </c>
      <c r="K60" s="2"/>
      <c r="L60" s="51">
        <f>'approccio per tipologia di P'!D53</f>
        <v>20.357442542018848</v>
      </c>
      <c r="M60" s="2"/>
      <c r="N60" s="51">
        <f>'approccio per tipologia di P'!D55</f>
        <v>10.087699986645456</v>
      </c>
      <c r="O60" s="2"/>
      <c r="P60" s="213">
        <f>SUM(D60:N60)</f>
        <v>70.795942475246136</v>
      </c>
      <c r="R60" s="91">
        <f t="shared" si="9"/>
        <v>283.18376990098454</v>
      </c>
      <c r="S60" s="91">
        <f t="shared" si="10"/>
        <v>1132.7350796039382</v>
      </c>
      <c r="T60" s="91"/>
    </row>
    <row r="61" spans="1:20" x14ac:dyDescent="0.25">
      <c r="B61" s="80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45"/>
      <c r="R61" s="91"/>
      <c r="S61" s="91"/>
      <c r="T61" s="91"/>
    </row>
    <row r="62" spans="1:20" x14ac:dyDescent="0.25">
      <c r="B62" s="3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45"/>
      <c r="R62" s="91"/>
      <c r="S62" s="91"/>
      <c r="T62" s="91"/>
    </row>
    <row r="63" spans="1:20" x14ac:dyDescent="0.25">
      <c r="B63" s="3">
        <v>0.4</v>
      </c>
      <c r="D63" s="51">
        <f>'approccio per tipologia di P'!D55</f>
        <v>10.087699986645456</v>
      </c>
      <c r="E63" s="2"/>
      <c r="F63" s="51">
        <f>'approccio per tipologia di P'!D53</f>
        <v>20.357442542018848</v>
      </c>
      <c r="G63" s="2"/>
      <c r="H63" s="51">
        <f>'approccio per tipologia di P'!D53</f>
        <v>20.357442542018848</v>
      </c>
      <c r="I63" s="2"/>
      <c r="J63" s="51">
        <f>'approccio per tipologia di P'!D52</f>
        <v>33.02902794953232</v>
      </c>
      <c r="K63" s="2"/>
      <c r="L63" s="51">
        <f>'approccio per tipologia di P'!D52</f>
        <v>33.02902794953232</v>
      </c>
      <c r="M63" s="2"/>
      <c r="N63" s="51">
        <f>'approccio per tipologia di P'!D55</f>
        <v>10.087699986645456</v>
      </c>
      <c r="O63" s="2"/>
      <c r="P63" s="214">
        <f>SUM(D63:N63)</f>
        <v>126.94834095639325</v>
      </c>
      <c r="R63" s="91">
        <f t="shared" si="9"/>
        <v>50.779336382557304</v>
      </c>
      <c r="S63" s="91">
        <f t="shared" si="10"/>
        <v>20.311734553022923</v>
      </c>
      <c r="T63" s="91"/>
    </row>
    <row r="64" spans="1:20" x14ac:dyDescent="0.25">
      <c r="R64" s="91"/>
      <c r="S64" s="91"/>
      <c r="T64" s="91"/>
    </row>
    <row r="65" spans="3:20" x14ac:dyDescent="0.25">
      <c r="C65" t="s">
        <v>138</v>
      </c>
      <c r="D65" s="3">
        <f>SUM(D$57:D$63)</f>
        <v>30.263099959936369</v>
      </c>
      <c r="E65" s="3"/>
      <c r="F65" s="3">
        <f t="shared" ref="F65:N65" si="11">SUM(F$57:F$63)</f>
        <v>63.474170478196626</v>
      </c>
      <c r="G65" s="3"/>
      <c r="H65" s="3">
        <f t="shared" si="11"/>
        <v>63.474170478196626</v>
      </c>
      <c r="I65" s="3"/>
      <c r="J65" s="3">
        <f t="shared" si="11"/>
        <v>76.145755885710088</v>
      </c>
      <c r="K65" s="3"/>
      <c r="L65" s="3">
        <f t="shared" si="11"/>
        <v>65.913453926358955</v>
      </c>
      <c r="M65" s="3"/>
      <c r="N65" s="3">
        <f t="shared" si="11"/>
        <v>30.263099959936369</v>
      </c>
      <c r="O65" s="2"/>
      <c r="P65" s="4">
        <f>SUM(P54:P63)</f>
        <v>393.00792116653167</v>
      </c>
      <c r="R65" s="91">
        <f>SUM(R54:R63)</f>
        <v>2323.2856008867179</v>
      </c>
      <c r="S65" s="91">
        <f>SUM(S54:S63)</f>
        <v>22715.956101881777</v>
      </c>
      <c r="T65" s="91"/>
    </row>
    <row r="66" spans="3:20" x14ac:dyDescent="0.25"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3:20" x14ac:dyDescent="0.25"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3:20" x14ac:dyDescent="0.25"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3:20" x14ac:dyDescent="0.25"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3:20" x14ac:dyDescent="0.25"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3:20" x14ac:dyDescent="0.25"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3:20" x14ac:dyDescent="0.25"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3:20" x14ac:dyDescent="0.25"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3:20" x14ac:dyDescent="0.25"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3:20" x14ac:dyDescent="0.25"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3:20" x14ac:dyDescent="0.25"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3:20" x14ac:dyDescent="0.25"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3:20" x14ac:dyDescent="0.25"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3:20" x14ac:dyDescent="0.25"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3:20" x14ac:dyDescent="0.25"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4:15" x14ac:dyDescent="0.25"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4:15" x14ac:dyDescent="0.25"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4:15" x14ac:dyDescent="0.25"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4:15" x14ac:dyDescent="0.25"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4:15" x14ac:dyDescent="0.25"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4:15" x14ac:dyDescent="0.25"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4:15" x14ac:dyDescent="0.25"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4:15" x14ac:dyDescent="0.25"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4:15" x14ac:dyDescent="0.25"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4:15" x14ac:dyDescent="0.25"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4:15" x14ac:dyDescent="0.25"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4:15" x14ac:dyDescent="0.25"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4:15" x14ac:dyDescent="0.25"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4:15" x14ac:dyDescent="0.25"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4:15" x14ac:dyDescent="0.25"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4:15" x14ac:dyDescent="0.25"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4:15" x14ac:dyDescent="0.25"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4:15" x14ac:dyDescent="0.25"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"/>
  <sheetViews>
    <sheetView topLeftCell="A85" workbookViewId="0">
      <selection activeCell="F38" sqref="F38"/>
    </sheetView>
  </sheetViews>
  <sheetFormatPr defaultRowHeight="15" x14ac:dyDescent="0.25"/>
  <cols>
    <col min="16" max="16" width="9.5703125" bestFit="1" customWidth="1"/>
  </cols>
  <sheetData>
    <row r="1" spans="2:18" s="30" customFormat="1" x14ac:dyDescent="0.25">
      <c r="B1" s="112" t="s">
        <v>135</v>
      </c>
      <c r="C1" s="112"/>
      <c r="D1" s="112"/>
    </row>
    <row r="3" spans="2:18" s="171" customFormat="1" x14ac:dyDescent="0.25">
      <c r="B3" s="171" t="s">
        <v>107</v>
      </c>
    </row>
    <row r="4" spans="2:18" s="30" customFormat="1" x14ac:dyDescent="0.25"/>
    <row r="5" spans="2:18" x14ac:dyDescent="0.25">
      <c r="C5" t="s">
        <v>136</v>
      </c>
      <c r="D5" s="2">
        <v>0.15</v>
      </c>
      <c r="E5" s="2"/>
      <c r="F5" s="2">
        <v>6.15</v>
      </c>
      <c r="G5" s="2"/>
      <c r="H5" s="3">
        <v>11.5</v>
      </c>
      <c r="I5" s="3"/>
      <c r="J5" s="3">
        <v>16.3</v>
      </c>
      <c r="K5" s="2"/>
      <c r="L5" s="2">
        <v>20.55</v>
      </c>
      <c r="M5" s="2"/>
      <c r="N5" s="2">
        <v>25.05</v>
      </c>
    </row>
    <row r="6" spans="2:18" x14ac:dyDescent="0.25">
      <c r="B6" t="s">
        <v>137</v>
      </c>
    </row>
    <row r="8" spans="2:18" x14ac:dyDescent="0.25">
      <c r="B8" s="3">
        <v>13.9</v>
      </c>
      <c r="D8" s="2"/>
      <c r="E8" s="2"/>
      <c r="F8" s="2"/>
      <c r="G8" s="2"/>
      <c r="H8" s="2"/>
      <c r="I8" s="2"/>
      <c r="J8" s="51">
        <f>'approccio per tipologia di P'!K12</f>
        <v>12.040234408191751</v>
      </c>
      <c r="K8" s="2"/>
      <c r="L8" s="51">
        <f>'approccio per tipologia di P'!K12</f>
        <v>12.040234408191751</v>
      </c>
      <c r="M8" s="2"/>
      <c r="N8" s="51">
        <f>'approccio per tipologia di P'!K10</f>
        <v>26.549948533385056</v>
      </c>
      <c r="P8" s="4"/>
      <c r="Q8" s="181"/>
      <c r="R8" s="181"/>
    </row>
    <row r="9" spans="2:18" x14ac:dyDescent="0.25">
      <c r="D9" s="2"/>
      <c r="E9" s="2"/>
      <c r="F9" s="2"/>
      <c r="G9" s="2"/>
      <c r="H9" s="2"/>
      <c r="I9" s="2"/>
      <c r="J9" s="2"/>
      <c r="K9" s="2"/>
      <c r="L9" s="2"/>
      <c r="M9" s="2"/>
      <c r="N9" s="2"/>
      <c r="Q9" s="181"/>
    </row>
    <row r="10" spans="2:18" x14ac:dyDescent="0.2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Q10" s="181"/>
    </row>
    <row r="11" spans="2:18" x14ac:dyDescent="0.25">
      <c r="B11" s="3">
        <v>8.4</v>
      </c>
      <c r="D11" s="51">
        <f>'approccio per tipologia di P'!K10</f>
        <v>26.549948533385056</v>
      </c>
      <c r="E11" s="2"/>
      <c r="F11" s="51">
        <f>'approccio per tipologia di P'!K12</f>
        <v>12.040234408191751</v>
      </c>
      <c r="G11" s="2"/>
      <c r="H11" s="51">
        <f>'approccio per tipologia di P'!K12</f>
        <v>12.040234408191751</v>
      </c>
      <c r="I11" s="2"/>
      <c r="J11" s="51">
        <f>'approccio per tipologia di P'!K11</f>
        <v>14.719701369009202</v>
      </c>
      <c r="K11" s="2"/>
      <c r="L11" s="51">
        <f>'approccio per tipologia di P'!K10</f>
        <v>26.549948533385056</v>
      </c>
      <c r="M11" s="2"/>
      <c r="N11" s="51">
        <f>'approccio per tipologia di P'!K10</f>
        <v>26.549948533385056</v>
      </c>
      <c r="P11" s="4"/>
      <c r="Q11" s="181"/>
      <c r="R11" s="181"/>
    </row>
    <row r="12" spans="2:18" x14ac:dyDescent="0.25">
      <c r="B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Q12" s="181"/>
      <c r="R12" s="181"/>
    </row>
    <row r="13" spans="2:18" x14ac:dyDescent="0.25">
      <c r="B13" s="3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Q13" s="181"/>
      <c r="R13" s="181"/>
    </row>
    <row r="14" spans="2:18" x14ac:dyDescent="0.25">
      <c r="B14" s="3">
        <v>4</v>
      </c>
      <c r="D14" s="51">
        <f>'approccio per tipologia di P'!K9</f>
        <v>44.353458944316451</v>
      </c>
      <c r="E14" s="2"/>
      <c r="F14" s="51">
        <f>'approccio per tipologia di P'!K10</f>
        <v>26.549948533385056</v>
      </c>
      <c r="G14" s="2"/>
      <c r="H14" s="51">
        <f>'approccio per tipologia di P'!K10</f>
        <v>26.549948533385056</v>
      </c>
      <c r="I14" s="2"/>
      <c r="J14" s="51">
        <f>'approccio per tipologia di P'!K9</f>
        <v>44.353458944316451</v>
      </c>
      <c r="K14" s="2"/>
      <c r="L14" s="51">
        <f>'approccio per tipologia di P'!K12</f>
        <v>12.040234408191751</v>
      </c>
      <c r="M14" s="2"/>
      <c r="N14" s="51">
        <f>'approccio per tipologia di P'!K10</f>
        <v>26.549948533385056</v>
      </c>
      <c r="P14" s="4"/>
      <c r="Q14" s="181"/>
      <c r="R14" s="181"/>
    </row>
    <row r="15" spans="2:18" x14ac:dyDescent="0.25">
      <c r="B15" s="80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Q15" s="181"/>
      <c r="R15" s="181"/>
    </row>
    <row r="16" spans="2:18" x14ac:dyDescent="0.25">
      <c r="B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Q16" s="181"/>
      <c r="R16" s="181"/>
    </row>
    <row r="17" spans="2:18" x14ac:dyDescent="0.25">
      <c r="B17" s="3">
        <v>0.4</v>
      </c>
      <c r="D17" s="51">
        <f>'approccio per tipologia di P'!K10</f>
        <v>26.549948533385056</v>
      </c>
      <c r="E17" s="2"/>
      <c r="F17" s="51">
        <f>'approccio per tipologia di P'!K13</f>
        <v>4.5712129677330404</v>
      </c>
      <c r="G17" s="2"/>
      <c r="H17" s="51">
        <f>'approccio per tipologia di P'!K13</f>
        <v>4.5712129677330404</v>
      </c>
      <c r="I17" s="2"/>
      <c r="J17" s="51">
        <f>'approccio per tipologia di P'!K12</f>
        <v>12.040234408191751</v>
      </c>
      <c r="K17" s="2"/>
      <c r="L17" s="51">
        <f>'approccio per tipologia di P'!K12</f>
        <v>12.040234408191751</v>
      </c>
      <c r="M17" s="2"/>
      <c r="N17" s="51">
        <f>'approccio per tipologia di P'!K10</f>
        <v>26.549948533385056</v>
      </c>
      <c r="P17" s="4"/>
      <c r="Q17" s="181"/>
      <c r="R17" s="181"/>
    </row>
    <row r="18" spans="2:18" x14ac:dyDescent="0.25">
      <c r="P18" t="s">
        <v>131</v>
      </c>
      <c r="Q18" s="181"/>
      <c r="R18" s="181" t="s">
        <v>144</v>
      </c>
    </row>
    <row r="19" spans="2:18" x14ac:dyDescent="0.25">
      <c r="C19" t="s">
        <v>138</v>
      </c>
      <c r="D19" s="4">
        <f>SUM(D$8:D$17)</f>
        <v>97.453356011086555</v>
      </c>
      <c r="E19" s="4"/>
      <c r="F19" s="4">
        <f t="shared" ref="F19:N19" si="0">SUM(F$8:F$17)</f>
        <v>43.161395909309846</v>
      </c>
      <c r="G19" s="4"/>
      <c r="H19" s="4">
        <f t="shared" si="0"/>
        <v>43.161395909309846</v>
      </c>
      <c r="I19" s="4"/>
      <c r="J19" s="4">
        <f t="shared" si="0"/>
        <v>83.153629129709159</v>
      </c>
      <c r="K19" s="4"/>
      <c r="L19" s="4">
        <f t="shared" si="0"/>
        <v>62.670651757960307</v>
      </c>
      <c r="M19" s="4"/>
      <c r="N19" s="4">
        <f t="shared" si="0"/>
        <v>106.19979413354022</v>
      </c>
      <c r="P19" s="181">
        <f>SUM($D19:$N19)</f>
        <v>435.80022285091593</v>
      </c>
      <c r="Q19" s="181"/>
      <c r="R19" s="3">
        <f>P20/P19</f>
        <v>13.951363982588953</v>
      </c>
    </row>
    <row r="20" spans="2:18" x14ac:dyDescent="0.25">
      <c r="C20" t="s">
        <v>142</v>
      </c>
      <c r="D20" s="4">
        <f>D$19*D$5</f>
        <v>14.618003401662982</v>
      </c>
      <c r="E20" s="4"/>
      <c r="F20" s="4">
        <f>F$19*F$5</f>
        <v>265.44258484225554</v>
      </c>
      <c r="G20" s="4"/>
      <c r="H20" s="4">
        <f>H$19*H$5</f>
        <v>496.35605295706324</v>
      </c>
      <c r="I20" s="4"/>
      <c r="J20" s="4">
        <f t="shared" ref="J20:N20" si="1">J$19*J$5</f>
        <v>1355.4041548142593</v>
      </c>
      <c r="K20" s="4"/>
      <c r="L20" s="4">
        <f t="shared" si="1"/>
        <v>1287.8818936260843</v>
      </c>
      <c r="M20" s="4"/>
      <c r="N20" s="4">
        <f t="shared" si="1"/>
        <v>2660.3048430451827</v>
      </c>
      <c r="P20" s="181">
        <f>SUM($D20:$N20)</f>
        <v>6080.0075326865081</v>
      </c>
      <c r="Q20" s="181"/>
      <c r="R20" s="181"/>
    </row>
    <row r="21" spans="2:18" x14ac:dyDescent="0.25">
      <c r="C21" t="s">
        <v>143</v>
      </c>
      <c r="D21" s="4">
        <f>D$19*D$5^2</f>
        <v>2.1927005102494475</v>
      </c>
      <c r="E21" s="4"/>
      <c r="F21" s="4">
        <f t="shared" ref="F21:N21" si="2">F$19*F$5^2</f>
        <v>1632.4718967798719</v>
      </c>
      <c r="G21" s="4"/>
      <c r="H21" s="4">
        <f t="shared" si="2"/>
        <v>5708.0946090062271</v>
      </c>
      <c r="I21" s="4"/>
      <c r="J21" s="4">
        <f t="shared" si="2"/>
        <v>22093.087723472425</v>
      </c>
      <c r="K21" s="4"/>
      <c r="L21" s="4">
        <f t="shared" si="2"/>
        <v>26465.972914016034</v>
      </c>
      <c r="M21" s="4"/>
      <c r="N21" s="4">
        <f t="shared" si="2"/>
        <v>66640.636318281831</v>
      </c>
      <c r="P21" s="181">
        <f>SUM($D21:$N21)</f>
        <v>122542.45616206664</v>
      </c>
      <c r="Q21" s="181"/>
      <c r="R21" s="181"/>
    </row>
    <row r="22" spans="2:18" s="171" customFormat="1" x14ac:dyDescent="0.25">
      <c r="B22" s="171" t="s">
        <v>116</v>
      </c>
      <c r="Q22" s="217"/>
      <c r="R22" s="217"/>
    </row>
    <row r="23" spans="2:18" s="30" customFormat="1" x14ac:dyDescent="0.25">
      <c r="Q23" s="181"/>
      <c r="R23" s="181"/>
    </row>
    <row r="24" spans="2:18" x14ac:dyDescent="0.25">
      <c r="C24" t="s">
        <v>136</v>
      </c>
      <c r="D24" s="2">
        <v>0.15</v>
      </c>
      <c r="E24" s="2"/>
      <c r="F24" s="2">
        <v>6.15</v>
      </c>
      <c r="G24" s="2"/>
      <c r="H24" s="3">
        <v>11.5</v>
      </c>
      <c r="I24" s="3"/>
      <c r="J24" s="3">
        <v>16.3</v>
      </c>
      <c r="K24" s="2"/>
      <c r="L24" s="2">
        <v>20.55</v>
      </c>
      <c r="M24" s="2"/>
      <c r="N24" s="2">
        <v>25.05</v>
      </c>
    </row>
    <row r="25" spans="2:18" x14ac:dyDescent="0.25">
      <c r="B25" t="s">
        <v>137</v>
      </c>
      <c r="Q25" s="181"/>
      <c r="R25" s="181"/>
    </row>
    <row r="26" spans="2:18" x14ac:dyDescent="0.25">
      <c r="B26" s="3">
        <v>13.9</v>
      </c>
      <c r="D26" s="2"/>
      <c r="E26" s="2"/>
      <c r="F26" s="2"/>
      <c r="G26" s="2"/>
      <c r="H26" s="2"/>
      <c r="I26" s="2"/>
      <c r="J26" s="51">
        <f>'approccio per tipologia di P'!K23</f>
        <v>34.161908561200633</v>
      </c>
      <c r="K26" s="2"/>
      <c r="L26" s="51">
        <f>J26</f>
        <v>34.161908561200633</v>
      </c>
      <c r="M26" s="2"/>
      <c r="N26" s="51">
        <f>D35</f>
        <v>47.639485616979769</v>
      </c>
      <c r="P26" s="4"/>
      <c r="Q26" s="181"/>
      <c r="R26" s="181"/>
    </row>
    <row r="27" spans="2:18" x14ac:dyDescent="0.25"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Q27" s="181"/>
      <c r="R27" s="181"/>
    </row>
    <row r="28" spans="2:18" x14ac:dyDescent="0.25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Q28" s="181"/>
      <c r="R28" s="181"/>
    </row>
    <row r="29" spans="2:18" x14ac:dyDescent="0.25">
      <c r="B29" s="3">
        <v>8.4</v>
      </c>
      <c r="D29" s="51">
        <f>D35</f>
        <v>47.639485616979769</v>
      </c>
      <c r="E29" s="2"/>
      <c r="F29" s="51">
        <f>J26</f>
        <v>34.161908561200633</v>
      </c>
      <c r="G29" s="2"/>
      <c r="H29" s="51">
        <f>J26</f>
        <v>34.161908561200633</v>
      </c>
      <c r="I29" s="2"/>
      <c r="J29" s="51">
        <f>F32</f>
        <v>10.132981687886938</v>
      </c>
      <c r="K29" s="2"/>
      <c r="L29" s="51">
        <f>F32</f>
        <v>10.132981687886938</v>
      </c>
      <c r="M29" s="2"/>
      <c r="N29" s="51">
        <f>D35</f>
        <v>47.639485616979769</v>
      </c>
      <c r="P29" s="4"/>
      <c r="Q29" s="181"/>
      <c r="R29" s="181"/>
    </row>
    <row r="30" spans="2:18" x14ac:dyDescent="0.25">
      <c r="B30" s="3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Q30" s="181"/>
      <c r="R30" s="181"/>
    </row>
    <row r="31" spans="2:18" x14ac:dyDescent="0.25">
      <c r="B31" s="3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Q31" s="181"/>
      <c r="R31" s="181"/>
    </row>
    <row r="32" spans="2:18" x14ac:dyDescent="0.25">
      <c r="B32" s="3">
        <v>4</v>
      </c>
      <c r="D32" s="51">
        <f>'approccio per tipologia di P'!K20</f>
        <v>83.348974814285228</v>
      </c>
      <c r="E32" s="2"/>
      <c r="F32" s="51">
        <f>'approccio per tipologia di P'!K32</f>
        <v>10.132981687886938</v>
      </c>
      <c r="G32" s="2"/>
      <c r="H32" s="51">
        <f>F32</f>
        <v>10.132981687886938</v>
      </c>
      <c r="I32" s="2"/>
      <c r="J32" s="51">
        <f>'approccio per tipologia di P'!K31</f>
        <v>16.59149395437851</v>
      </c>
      <c r="K32" s="2"/>
      <c r="L32" s="51">
        <f>'approccio per tipologia di P'!K34</f>
        <v>6.2847016004594005</v>
      </c>
      <c r="M32" s="2"/>
      <c r="N32" s="51">
        <f>D35</f>
        <v>47.639485616979769</v>
      </c>
      <c r="P32" s="4"/>
      <c r="Q32" s="181"/>
      <c r="R32" s="181"/>
    </row>
    <row r="33" spans="2:19" x14ac:dyDescent="0.25">
      <c r="B33" s="80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Q33" s="181"/>
      <c r="R33" s="181"/>
    </row>
    <row r="34" spans="2:19" x14ac:dyDescent="0.25">
      <c r="B34" s="3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Q34" s="181"/>
      <c r="R34" s="181"/>
    </row>
    <row r="35" spans="2:19" x14ac:dyDescent="0.25">
      <c r="B35" s="3">
        <v>0.4</v>
      </c>
      <c r="D35" s="51">
        <f>'approccio per tipologia di P'!K21</f>
        <v>47.639485616979769</v>
      </c>
      <c r="E35" s="2"/>
      <c r="F35" s="51">
        <f>'approccio per tipologia di P'!K24</f>
        <v>51.839007792812737</v>
      </c>
      <c r="G35" s="2"/>
      <c r="H35" s="51">
        <f>F35</f>
        <v>51.839007792812737</v>
      </c>
      <c r="I35" s="2"/>
      <c r="J35" s="51">
        <f>J26</f>
        <v>34.161908561200633</v>
      </c>
      <c r="K35" s="2"/>
      <c r="L35" s="51">
        <f>J26</f>
        <v>34.161908561200633</v>
      </c>
      <c r="M35" s="2"/>
      <c r="N35" s="51">
        <f>D35</f>
        <v>47.639485616979769</v>
      </c>
      <c r="P35" s="4"/>
      <c r="Q35" s="181"/>
      <c r="R35" s="181"/>
    </row>
    <row r="36" spans="2:19" x14ac:dyDescent="0.25">
      <c r="Q36" s="181"/>
    </row>
    <row r="37" spans="2:19" x14ac:dyDescent="0.25">
      <c r="P37" t="s">
        <v>131</v>
      </c>
      <c r="Q37" s="181"/>
      <c r="R37" t="s">
        <v>144</v>
      </c>
    </row>
    <row r="38" spans="2:19" x14ac:dyDescent="0.25">
      <c r="C38" s="2" t="s">
        <v>138</v>
      </c>
      <c r="D38" s="91">
        <f>SUM(D$26:D$35)</f>
        <v>178.62794604824478</v>
      </c>
      <c r="E38" s="91">
        <f t="shared" ref="E38:N38" si="3">SUM(E$26:E$35)</f>
        <v>0</v>
      </c>
      <c r="F38" s="91">
        <f t="shared" si="3"/>
        <v>96.133898041900309</v>
      </c>
      <c r="G38" s="91"/>
      <c r="H38" s="91">
        <f t="shared" si="3"/>
        <v>96.133898041900309</v>
      </c>
      <c r="I38" s="91"/>
      <c r="J38" s="91">
        <f t="shared" si="3"/>
        <v>95.048292764666712</v>
      </c>
      <c r="K38" s="91"/>
      <c r="L38" s="91">
        <f t="shared" si="3"/>
        <v>84.741500410747605</v>
      </c>
      <c r="M38" s="91"/>
      <c r="N38" s="91">
        <f t="shared" si="3"/>
        <v>190.55794246791908</v>
      </c>
      <c r="O38" s="91"/>
      <c r="P38" s="91">
        <f>SUM($D38:$N38)</f>
        <v>741.24347777537878</v>
      </c>
      <c r="Q38" s="91"/>
      <c r="R38" s="3">
        <f>P39/P38</f>
        <v>13.204512754767327</v>
      </c>
      <c r="S38" s="2"/>
    </row>
    <row r="39" spans="2:19" x14ac:dyDescent="0.25">
      <c r="C39" s="2" t="s">
        <v>142</v>
      </c>
      <c r="D39" s="91">
        <f>D$38*D$24</f>
        <v>26.794191907236716</v>
      </c>
      <c r="E39" s="91"/>
      <c r="F39" s="91">
        <f t="shared" ref="F39:N39" si="4">F$38*F$24</f>
        <v>591.22347295768691</v>
      </c>
      <c r="G39" s="91"/>
      <c r="H39" s="91">
        <f t="shared" si="4"/>
        <v>1105.5398274818535</v>
      </c>
      <c r="I39" s="91"/>
      <c r="J39" s="91">
        <f t="shared" si="4"/>
        <v>1549.2871720640674</v>
      </c>
      <c r="K39" s="91"/>
      <c r="L39" s="91">
        <f t="shared" si="4"/>
        <v>1741.4378334408634</v>
      </c>
      <c r="M39" s="91"/>
      <c r="N39" s="91">
        <f t="shared" si="4"/>
        <v>4773.4764588213729</v>
      </c>
      <c r="O39" s="91"/>
      <c r="P39" s="91">
        <f>SUM($D39:$N39)</f>
        <v>9787.7589566730803</v>
      </c>
      <c r="Q39" s="91"/>
      <c r="R39" s="2"/>
      <c r="S39" s="2"/>
    </row>
    <row r="40" spans="2:19" x14ac:dyDescent="0.25">
      <c r="C40" s="2" t="s">
        <v>143</v>
      </c>
      <c r="D40" s="91">
        <f>D$38*D$24^2</f>
        <v>4.0191287860855072</v>
      </c>
      <c r="E40" s="91"/>
      <c r="F40" s="91">
        <f t="shared" ref="F40:N40" si="5">F$38*F$24^2</f>
        <v>3636.024358689775</v>
      </c>
      <c r="G40" s="91"/>
      <c r="H40" s="91">
        <f t="shared" si="5"/>
        <v>12713.708016041315</v>
      </c>
      <c r="I40" s="91"/>
      <c r="J40" s="91">
        <f t="shared" si="5"/>
        <v>25253.380904644298</v>
      </c>
      <c r="K40" s="91"/>
      <c r="L40" s="91">
        <f t="shared" si="5"/>
        <v>35786.547477209744</v>
      </c>
      <c r="M40" s="91"/>
      <c r="N40" s="91">
        <f t="shared" si="5"/>
        <v>119575.58529347541</v>
      </c>
      <c r="O40" s="91"/>
      <c r="P40" s="91">
        <f>SUM($D40:$N40)</f>
        <v>196969.2651788466</v>
      </c>
      <c r="Q40" s="91"/>
      <c r="R40" s="2"/>
      <c r="S40" s="2"/>
    </row>
    <row r="41" spans="2:19" x14ac:dyDescent="0.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2:19" s="171" customFormat="1" x14ac:dyDescent="0.25">
      <c r="B42" s="171" t="s">
        <v>134</v>
      </c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</row>
    <row r="43" spans="2:19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2:19" x14ac:dyDescent="0.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2:19" x14ac:dyDescent="0.25">
      <c r="C45" s="2"/>
      <c r="D45" s="2">
        <v>0.15</v>
      </c>
      <c r="E45" s="2"/>
      <c r="F45" s="2">
        <v>6.15</v>
      </c>
      <c r="G45" s="2"/>
      <c r="H45" s="3">
        <v>11.5</v>
      </c>
      <c r="I45" s="3"/>
      <c r="J45" s="3">
        <v>16.3</v>
      </c>
      <c r="K45" s="2"/>
      <c r="L45" s="2">
        <v>20.55</v>
      </c>
      <c r="M45" s="2"/>
      <c r="N45" s="2">
        <v>25.05</v>
      </c>
      <c r="O45" s="2"/>
      <c r="P45" s="2"/>
      <c r="Q45" s="91"/>
      <c r="R45" s="2"/>
      <c r="S45" s="2"/>
    </row>
    <row r="46" spans="2:19" x14ac:dyDescent="0.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91"/>
      <c r="R46" s="2"/>
      <c r="S46" s="2"/>
    </row>
    <row r="47" spans="2:19" x14ac:dyDescent="0.25">
      <c r="B47" s="3">
        <v>13.9</v>
      </c>
      <c r="C47" s="2"/>
      <c r="D47" s="2"/>
      <c r="E47" s="2"/>
      <c r="F47" s="2"/>
      <c r="G47" s="2"/>
      <c r="H47" s="2"/>
      <c r="I47" s="2"/>
      <c r="J47" s="51">
        <f>'approccio per tipologia di P'!K44</f>
        <v>9.3702033077977873</v>
      </c>
      <c r="K47" s="2"/>
      <c r="L47" s="51">
        <f>'approccio per tipologia di P'!K44</f>
        <v>9.3702033077977873</v>
      </c>
      <c r="M47" s="2"/>
      <c r="N47" s="51">
        <f>'approccio per tipologia di P'!K42</f>
        <v>38.94891830769609</v>
      </c>
      <c r="O47" s="2"/>
      <c r="P47" s="2"/>
      <c r="Q47" s="91"/>
      <c r="R47" s="2"/>
      <c r="S47" s="2"/>
    </row>
    <row r="48" spans="2:19" x14ac:dyDescent="0.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91"/>
      <c r="R48" s="2"/>
      <c r="S48" s="2"/>
    </row>
    <row r="49" spans="1:19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91"/>
      <c r="R49" s="2"/>
      <c r="S49" s="2"/>
    </row>
    <row r="50" spans="1:19" x14ac:dyDescent="0.25">
      <c r="B50" s="3">
        <v>8.4</v>
      </c>
      <c r="C50" s="2"/>
      <c r="D50" s="51">
        <f>'approccio per tipologia di P'!K42</f>
        <v>38.94891830769609</v>
      </c>
      <c r="E50" s="2"/>
      <c r="F50" s="51">
        <f>'approccio per tipologia di P'!K44</f>
        <v>9.3702033077977873</v>
      </c>
      <c r="G50" s="2"/>
      <c r="H50" s="51">
        <f>'approccio per tipologia di P'!K44</f>
        <v>9.3702033077977873</v>
      </c>
      <c r="I50" s="2"/>
      <c r="J50" s="51">
        <f>'approccio per tipologia di P'!K43</f>
        <v>10.274221996802151</v>
      </c>
      <c r="K50" s="2"/>
      <c r="L50" s="51">
        <f>'approccio per tipologia di P'!K42</f>
        <v>38.94891830769609</v>
      </c>
      <c r="M50" s="2"/>
      <c r="N50" s="51">
        <f>'approccio per tipologia di P'!K42</f>
        <v>38.94891830769609</v>
      </c>
      <c r="O50" s="2"/>
      <c r="P50" s="2"/>
      <c r="Q50" s="91"/>
      <c r="R50" s="2"/>
      <c r="S50" s="2"/>
    </row>
    <row r="51" spans="1:19" x14ac:dyDescent="0.25">
      <c r="B51" s="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91"/>
      <c r="R51" s="2"/>
      <c r="S51" s="2"/>
    </row>
    <row r="52" spans="1:19" x14ac:dyDescent="0.25">
      <c r="B52" s="3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91"/>
      <c r="R52" s="2"/>
      <c r="S52" s="2"/>
    </row>
    <row r="53" spans="1:19" x14ac:dyDescent="0.25">
      <c r="B53" s="3">
        <v>4</v>
      </c>
      <c r="C53" s="2"/>
      <c r="D53" s="51">
        <f>'approccio per tipologia di P'!K41</f>
        <v>48.867936389641606</v>
      </c>
      <c r="E53" s="2"/>
      <c r="F53" s="51">
        <f>'approccio per tipologia di P'!K42</f>
        <v>38.94891830769609</v>
      </c>
      <c r="G53" s="2"/>
      <c r="H53" s="51">
        <f>'approccio per tipologia di P'!K42</f>
        <v>38.94891830769609</v>
      </c>
      <c r="I53" s="2"/>
      <c r="J53" s="51">
        <f>'approccio per tipologia di P'!K41</f>
        <v>48.867936389641606</v>
      </c>
      <c r="K53" s="2"/>
      <c r="L53" s="51">
        <f>'approccio per tipologia di P'!K44</f>
        <v>9.3702033077977873</v>
      </c>
      <c r="M53" s="2"/>
      <c r="N53" s="51">
        <f>'approccio per tipologia di P'!K42</f>
        <v>38.94891830769609</v>
      </c>
      <c r="O53" s="2"/>
      <c r="P53" s="2"/>
      <c r="Q53" s="91"/>
      <c r="R53" s="2"/>
      <c r="S53" s="2"/>
    </row>
    <row r="54" spans="1:19" x14ac:dyDescent="0.25">
      <c r="B54" s="80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91"/>
      <c r="R54" s="2"/>
      <c r="S54" s="2"/>
    </row>
    <row r="55" spans="1:19" x14ac:dyDescent="0.25"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91"/>
      <c r="R55" s="2"/>
      <c r="S55" s="2"/>
    </row>
    <row r="56" spans="1:19" x14ac:dyDescent="0.25">
      <c r="B56" s="3">
        <v>0.4</v>
      </c>
      <c r="C56" s="2"/>
      <c r="D56" s="51">
        <f>'approccio per tipologia di P'!K42</f>
        <v>38.94891830769609</v>
      </c>
      <c r="E56" s="2"/>
      <c r="F56" s="51">
        <f>'approccio per tipologia di P'!K45</f>
        <v>5.9706076846794938</v>
      </c>
      <c r="G56" s="2"/>
      <c r="H56" s="51">
        <f>'approccio per tipologia di P'!K45</f>
        <v>5.9706076846794938</v>
      </c>
      <c r="I56" s="2"/>
      <c r="J56" s="51">
        <f>'approccio per tipologia di P'!K44</f>
        <v>9.3702033077977873</v>
      </c>
      <c r="K56" s="2"/>
      <c r="L56" s="51">
        <f>'approccio per tipologia di P'!K44</f>
        <v>9.3702033077977873</v>
      </c>
      <c r="M56" s="2"/>
      <c r="N56" s="51">
        <f>'approccio per tipologia di P'!K42</f>
        <v>38.94891830769609</v>
      </c>
      <c r="O56" s="2"/>
      <c r="P56" s="2"/>
      <c r="Q56" s="91"/>
      <c r="R56" s="2"/>
      <c r="S56" s="2"/>
    </row>
    <row r="57" spans="1:19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 t="s">
        <v>131</v>
      </c>
      <c r="Q58" s="91"/>
      <c r="R58" s="2" t="s">
        <v>144</v>
      </c>
      <c r="S58" s="2"/>
    </row>
    <row r="59" spans="1:19" x14ac:dyDescent="0.25">
      <c r="C59" s="2" t="s">
        <v>138</v>
      </c>
      <c r="D59" s="91">
        <f>SUM(D$47:D$56)</f>
        <v>126.76577300503379</v>
      </c>
      <c r="E59" s="91"/>
      <c r="F59" s="91">
        <f t="shared" ref="F59:N59" si="6">SUM(F$47:F$56)</f>
        <v>54.28972930017337</v>
      </c>
      <c r="G59" s="91"/>
      <c r="H59" s="91">
        <f t="shared" si="6"/>
        <v>54.28972930017337</v>
      </c>
      <c r="I59" s="91"/>
      <c r="J59" s="91">
        <f t="shared" si="6"/>
        <v>77.882565002039343</v>
      </c>
      <c r="K59" s="91"/>
      <c r="L59" s="91">
        <f t="shared" si="6"/>
        <v>67.059528231089445</v>
      </c>
      <c r="M59" s="91"/>
      <c r="N59" s="91">
        <f t="shared" si="6"/>
        <v>155.79567323078436</v>
      </c>
      <c r="O59" s="91"/>
      <c r="P59" s="91">
        <f>SUM($D59:$N59)</f>
        <v>536.08299806929369</v>
      </c>
      <c r="Q59" s="91"/>
      <c r="R59" s="3">
        <f>P60/P59</f>
        <v>14.041611736097435</v>
      </c>
      <c r="S59" s="2"/>
    </row>
    <row r="60" spans="1:19" x14ac:dyDescent="0.25">
      <c r="C60" s="2" t="s">
        <v>142</v>
      </c>
      <c r="D60" s="91">
        <f>D$59*D$45</f>
        <v>19.01486595075507</v>
      </c>
      <c r="E60" s="91"/>
      <c r="F60" s="91">
        <f t="shared" ref="F60:N60" si="7">F$59*F$45</f>
        <v>333.88183519606622</v>
      </c>
      <c r="G60" s="91"/>
      <c r="H60" s="91">
        <f t="shared" si="7"/>
        <v>624.33188695199374</v>
      </c>
      <c r="I60" s="91"/>
      <c r="J60" s="91">
        <f t="shared" si="7"/>
        <v>1269.4858095332413</v>
      </c>
      <c r="K60" s="91"/>
      <c r="L60" s="91">
        <f t="shared" si="7"/>
        <v>1378.073305148888</v>
      </c>
      <c r="M60" s="91"/>
      <c r="N60" s="91">
        <f t="shared" si="7"/>
        <v>3902.6816144311483</v>
      </c>
      <c r="O60" s="91"/>
      <c r="P60" s="91">
        <f>SUM($D60:$N60)</f>
        <v>7527.4693172120933</v>
      </c>
      <c r="Q60" s="91"/>
      <c r="R60" s="2"/>
      <c r="S60" s="2"/>
    </row>
    <row r="61" spans="1:19" x14ac:dyDescent="0.25">
      <c r="C61" s="2" t="s">
        <v>143</v>
      </c>
      <c r="D61" s="91">
        <f>D$59*D$45^2</f>
        <v>2.8522298926132601</v>
      </c>
      <c r="E61" s="91"/>
      <c r="F61" s="91">
        <f t="shared" ref="F61:N61" si="8">F$59*F$45^2</f>
        <v>2053.3732864558074</v>
      </c>
      <c r="G61" s="91"/>
      <c r="H61" s="91">
        <f t="shared" si="8"/>
        <v>7179.8166999479281</v>
      </c>
      <c r="I61" s="91"/>
      <c r="J61" s="91">
        <f t="shared" si="8"/>
        <v>20692.618695391833</v>
      </c>
      <c r="K61" s="91"/>
      <c r="L61" s="91">
        <f t="shared" si="8"/>
        <v>28319.40642080965</v>
      </c>
      <c r="M61" s="91"/>
      <c r="N61" s="91">
        <f t="shared" si="8"/>
        <v>97762.174441500276</v>
      </c>
      <c r="O61" s="91"/>
      <c r="P61" s="91">
        <f>SUM($D61:$N61)</f>
        <v>156010.2417739981</v>
      </c>
      <c r="Q61" s="91"/>
      <c r="R61" s="2"/>
      <c r="S61" s="2"/>
    </row>
    <row r="62" spans="1:19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x14ac:dyDescent="0.25">
      <c r="A64" s="171"/>
      <c r="B64" s="171" t="s">
        <v>173</v>
      </c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"/>
      <c r="P64" s="2"/>
      <c r="Q64" s="2"/>
      <c r="R64" s="2"/>
      <c r="S64" s="2"/>
    </row>
    <row r="65" spans="2:19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2:19" x14ac:dyDescent="0.2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2:19" x14ac:dyDescent="0.25">
      <c r="C67" s="2"/>
      <c r="D67" s="2">
        <v>0.15</v>
      </c>
      <c r="E67" s="2"/>
      <c r="F67" s="2">
        <v>6.15</v>
      </c>
      <c r="G67" s="2"/>
      <c r="H67" s="3">
        <v>11.5</v>
      </c>
      <c r="I67" s="3"/>
      <c r="J67" s="3">
        <v>16.3</v>
      </c>
      <c r="K67" s="2"/>
      <c r="L67" s="2">
        <v>20.55</v>
      </c>
      <c r="M67" s="2"/>
      <c r="N67" s="2">
        <v>25.05</v>
      </c>
      <c r="O67" s="2"/>
      <c r="P67" s="2"/>
      <c r="Q67" s="2"/>
      <c r="R67" s="2"/>
      <c r="S67" s="2"/>
    </row>
    <row r="68" spans="2:19" x14ac:dyDescent="0.2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2:19" x14ac:dyDescent="0.25">
      <c r="B69" s="3">
        <v>13.9</v>
      </c>
      <c r="C69" s="2"/>
      <c r="D69" s="2"/>
      <c r="E69" s="2"/>
      <c r="F69" s="2"/>
      <c r="G69" s="2"/>
      <c r="H69" s="2"/>
      <c r="I69" s="2"/>
      <c r="J69" s="51">
        <f>'approccio per tipologia di P'!K55</f>
        <v>10.087699986645456</v>
      </c>
      <c r="K69" s="2"/>
      <c r="L69" s="51">
        <f>'approccio per tipologia di P'!K55</f>
        <v>10.087699986645456</v>
      </c>
      <c r="M69" s="2"/>
      <c r="N69" s="51">
        <f>'approccio per tipologia di P'!K53</f>
        <v>20.357442542018848</v>
      </c>
      <c r="O69" s="2"/>
      <c r="P69" s="2"/>
      <c r="Q69" s="2"/>
      <c r="R69" s="2"/>
      <c r="S69" s="2"/>
    </row>
    <row r="70" spans="2:19" x14ac:dyDescent="0.25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2:19" x14ac:dyDescent="0.25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2:19" x14ac:dyDescent="0.25">
      <c r="B72" s="3">
        <v>8.4</v>
      </c>
      <c r="C72" s="2"/>
      <c r="D72" s="51">
        <f>'approccio per tipologia di P'!K53</f>
        <v>20.357442542018848</v>
      </c>
      <c r="E72" s="2"/>
      <c r="F72" s="51">
        <f>'approccio per tipologia di P'!K55</f>
        <v>10.087699986645456</v>
      </c>
      <c r="G72" s="2"/>
      <c r="H72" s="51">
        <f>'approccio per tipologia di P'!K55</f>
        <v>10.087699986645456</v>
      </c>
      <c r="I72" s="2"/>
      <c r="J72" s="51">
        <f>'approccio per tipologia di P'!K54</f>
        <v>12.526983434807791</v>
      </c>
      <c r="K72" s="2"/>
      <c r="L72" s="51">
        <f>'approccio per tipologia di P'!K53</f>
        <v>20.357442542018848</v>
      </c>
      <c r="M72" s="2"/>
      <c r="N72" s="51">
        <f>'approccio per tipologia di P'!K53</f>
        <v>20.357442542018848</v>
      </c>
      <c r="O72" s="2"/>
      <c r="P72" s="2"/>
      <c r="Q72" s="2"/>
      <c r="R72" s="2"/>
      <c r="S72" s="2"/>
    </row>
    <row r="73" spans="2:19" x14ac:dyDescent="0.25">
      <c r="B73" s="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2:19" x14ac:dyDescent="0.25">
      <c r="B74" s="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2:19" x14ac:dyDescent="0.25">
      <c r="B75" s="3">
        <v>4</v>
      </c>
      <c r="C75" s="2"/>
      <c r="D75" s="51">
        <f>'approccio per tipologia di P'!K52</f>
        <v>33.02902794953232</v>
      </c>
      <c r="E75" s="2"/>
      <c r="F75" s="51">
        <f>'approccio per tipologia di P'!K53</f>
        <v>20.357442542018848</v>
      </c>
      <c r="G75" s="2"/>
      <c r="H75" s="51">
        <f>'approccio per tipologia di P'!K53</f>
        <v>20.357442542018848</v>
      </c>
      <c r="I75" s="2"/>
      <c r="J75" s="51">
        <f>'approccio per tipologia di P'!K52</f>
        <v>33.02902794953232</v>
      </c>
      <c r="K75" s="2"/>
      <c r="L75" s="51">
        <f>'approccio per tipologia di P'!K55</f>
        <v>10.087699986645456</v>
      </c>
      <c r="M75" s="2"/>
      <c r="N75" s="51">
        <f>'approccio per tipologia di P'!K53</f>
        <v>20.357442542018848</v>
      </c>
      <c r="O75" s="2"/>
      <c r="P75" s="2"/>
      <c r="Q75" s="2"/>
      <c r="R75" s="2"/>
      <c r="S75" s="2"/>
    </row>
    <row r="76" spans="2:19" x14ac:dyDescent="0.25">
      <c r="B76" s="8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2:19" x14ac:dyDescent="0.25">
      <c r="B77" s="3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2:19" x14ac:dyDescent="0.25">
      <c r="B78" s="3">
        <v>0.4</v>
      </c>
      <c r="C78" s="2"/>
      <c r="D78" s="51">
        <f>'approccio per tipologia di P'!K53</f>
        <v>20.357442542018848</v>
      </c>
      <c r="E78" s="2"/>
      <c r="F78" s="51">
        <f>'approccio per tipologia di P'!K56</f>
        <v>4.4188022540901484</v>
      </c>
      <c r="G78" s="2"/>
      <c r="H78" s="51">
        <f>F78</f>
        <v>4.4188022540901484</v>
      </c>
      <c r="I78" s="2"/>
      <c r="J78" s="51">
        <f>'approccio per tipologia di P'!K55</f>
        <v>10.087699986645456</v>
      </c>
      <c r="K78" s="2"/>
      <c r="L78" s="51">
        <f>'approccio per tipologia di P'!K55</f>
        <v>10.087699986645456</v>
      </c>
      <c r="M78" s="2"/>
      <c r="N78" s="51">
        <f>'approccio per tipologia di P'!K53</f>
        <v>20.357442542018848</v>
      </c>
      <c r="O78" s="2"/>
      <c r="P78" s="2"/>
      <c r="Q78" s="2"/>
      <c r="R78" s="2"/>
      <c r="S78" s="2"/>
    </row>
    <row r="79" spans="2:19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2:19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 t="s">
        <v>131</v>
      </c>
      <c r="Q80" s="91"/>
      <c r="R80" s="2" t="s">
        <v>144</v>
      </c>
      <c r="S80" s="2"/>
    </row>
    <row r="81" spans="3:19" x14ac:dyDescent="0.25">
      <c r="C81" s="2" t="s">
        <v>138</v>
      </c>
      <c r="D81" s="91">
        <f>SUM(D$69:D$78)</f>
        <v>73.74391303357001</v>
      </c>
      <c r="E81" s="91"/>
      <c r="F81" s="91">
        <f t="shared" ref="F81:N81" si="9">SUM(F$69:F$78)</f>
        <v>34.863944782754452</v>
      </c>
      <c r="G81" s="91"/>
      <c r="H81" s="91">
        <f t="shared" si="9"/>
        <v>34.863944782754452</v>
      </c>
      <c r="I81" s="91"/>
      <c r="J81" s="91">
        <f t="shared" si="9"/>
        <v>65.731411357631032</v>
      </c>
      <c r="K81" s="91"/>
      <c r="L81" s="91">
        <f t="shared" si="9"/>
        <v>50.620542501955214</v>
      </c>
      <c r="M81" s="91"/>
      <c r="N81" s="91">
        <f t="shared" si="9"/>
        <v>81.429770168075393</v>
      </c>
      <c r="O81" s="91"/>
      <c r="P81" s="91">
        <f>SUM($D81:$N81)</f>
        <v>341.25352662674055</v>
      </c>
      <c r="Q81" s="91"/>
      <c r="R81" s="3">
        <f>P82/P81</f>
        <v>14.001027786744375</v>
      </c>
      <c r="S81" s="2"/>
    </row>
    <row r="82" spans="3:19" x14ac:dyDescent="0.25">
      <c r="C82" s="2" t="s">
        <v>142</v>
      </c>
      <c r="D82" s="91">
        <f>D$81*D$67</f>
        <v>11.061586955035501</v>
      </c>
      <c r="E82" s="91"/>
      <c r="F82" s="91">
        <f t="shared" ref="F82:N82" si="10">F$81*F$67</f>
        <v>214.41326041393989</v>
      </c>
      <c r="G82" s="91"/>
      <c r="H82" s="91">
        <f t="shared" si="10"/>
        <v>400.93536500167619</v>
      </c>
      <c r="I82" s="91"/>
      <c r="J82" s="91">
        <f t="shared" si="10"/>
        <v>1071.422005129386</v>
      </c>
      <c r="K82" s="91"/>
      <c r="L82" s="91">
        <f t="shared" si="10"/>
        <v>1040.2521484151796</v>
      </c>
      <c r="M82" s="91"/>
      <c r="N82" s="91">
        <f t="shared" si="10"/>
        <v>2039.8157427102888</v>
      </c>
      <c r="O82" s="91"/>
      <c r="P82" s="91">
        <f>SUM($D82:$N82)</f>
        <v>4777.9001086255057</v>
      </c>
      <c r="Q82" s="91"/>
      <c r="R82" s="2"/>
      <c r="S82" s="2"/>
    </row>
    <row r="83" spans="3:19" x14ac:dyDescent="0.25">
      <c r="C83" s="2" t="s">
        <v>143</v>
      </c>
      <c r="D83" s="91">
        <f>D$81*D$67^2</f>
        <v>1.6592380432553251</v>
      </c>
      <c r="E83" s="91"/>
      <c r="F83" s="91">
        <f t="shared" ref="F83:N83" si="11">F$81*F$67^2</f>
        <v>1318.6415515457304</v>
      </c>
      <c r="G83" s="91"/>
      <c r="H83" s="91">
        <f t="shared" si="11"/>
        <v>4610.7566975192758</v>
      </c>
      <c r="I83" s="91"/>
      <c r="J83" s="91">
        <f t="shared" si="11"/>
        <v>17464.178683608989</v>
      </c>
      <c r="K83" s="91"/>
      <c r="L83" s="91">
        <f t="shared" si="11"/>
        <v>21377.181649931943</v>
      </c>
      <c r="M83" s="91"/>
      <c r="N83" s="91">
        <f t="shared" si="11"/>
        <v>51097.384354892733</v>
      </c>
      <c r="O83" s="91"/>
      <c r="P83" s="91">
        <f>SUM($D83:$N83)</f>
        <v>95869.802175541932</v>
      </c>
      <c r="Q83" s="91"/>
      <c r="R83" s="2"/>
      <c r="S83" s="2"/>
    </row>
    <row r="84" spans="3:19" x14ac:dyDescent="0.25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3:19" x14ac:dyDescent="0.25"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GEOMETRIA</vt:lpstr>
      <vt:lpstr>CARICHI UNITARI</vt:lpstr>
      <vt:lpstr>masse</vt:lpstr>
      <vt:lpstr>sollecitazioni</vt:lpstr>
      <vt:lpstr>Dimensionamento</vt:lpstr>
      <vt:lpstr>approggioco globale</vt:lpstr>
      <vt:lpstr>approccio per tipologia di P</vt:lpstr>
      <vt:lpstr> RIGIDEZZE_X</vt:lpstr>
      <vt:lpstr> RIGIDEZZE_Y</vt:lpstr>
      <vt:lpstr>BILANCIAMENTO</vt:lpstr>
      <vt:lpstr>CONFRONTI DATI TEL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Veronica&amp;Mario</dc:creator>
  <cp:lastModifiedBy>... ....</cp:lastModifiedBy>
  <dcterms:created xsi:type="dcterms:W3CDTF">2016-11-14T07:24:29Z</dcterms:created>
  <dcterms:modified xsi:type="dcterms:W3CDTF">2016-12-14T17:54:33Z</dcterms:modified>
</cp:coreProperties>
</file>